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aul\Documents\000work\CA centers\"/>
    </mc:Choice>
  </mc:AlternateContent>
  <bookViews>
    <workbookView xWindow="0" yWindow="0" windowWidth="20532" windowHeight="9012"/>
  </bookViews>
  <sheets>
    <sheet name="calculations" sheetId="3" r:id="rId1"/>
    <sheet name="data" sheetId="4" r:id="rId2"/>
    <sheet name="explanation" sheetId="2" r:id="rId3"/>
  </sheets>
  <definedNames>
    <definedName name="Aircraft">data!$H$95:$H$103</definedName>
    <definedName name="AirDensityFt">data!$C$55:$F$90</definedName>
    <definedName name="AirDensityMtr">data!$B$55:$F$90</definedName>
    <definedName name="Altitudes">data!$D$46:$D$47</definedName>
    <definedName name="Areas">data!$D$20:$D$21</definedName>
    <definedName name="ConvertArea">data!$D$20:$E$21</definedName>
    <definedName name="ConvertMileage">data!$D$32:$E$34</definedName>
    <definedName name="ConvertPower">data!$D$36:$E$37</definedName>
    <definedName name="ConvertSpeed">data!$D$40:$E$43</definedName>
    <definedName name="Distances">data!$D$24:$D$27</definedName>
    <definedName name="DistperVol">data!$D$32:$D$34</definedName>
    <definedName name="FuelEnergyDensity">data!$D$11:$F$14</definedName>
    <definedName name="KPHtoMPH">data!$E$41</definedName>
    <definedName name="KPHtoMPS">data!$E$42</definedName>
    <definedName name="KPLtoMPG">data!$E$33</definedName>
    <definedName name="KPLtoMPL">data!$E$34</definedName>
    <definedName name="Locomotives">data!$H$44:$H$50</definedName>
    <definedName name="Powers">data!$D$36:$D$37</definedName>
    <definedName name="Railcars">data!$H$51:$H$60</definedName>
    <definedName name="RoadVehicles">data!$H$12:$H$32</definedName>
    <definedName name="Ships">data!$H$73:$H$81</definedName>
    <definedName name="Speeds">data!$D$40:$D$43</definedName>
    <definedName name="VehicleData">data!$H:$N</definedName>
    <definedName name="Volumes">data!$D$28:$D$29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53" i="3" l="1"/>
  <c r="AL53" i="3" s="1"/>
  <c r="AK52" i="3"/>
  <c r="AL52" i="3" s="1"/>
  <c r="AK51" i="3"/>
  <c r="AL51" i="3" s="1"/>
  <c r="AK50" i="3"/>
  <c r="AL50" i="3" s="1"/>
  <c r="AK49" i="3"/>
  <c r="AL49" i="3" s="1"/>
  <c r="AK48" i="3"/>
  <c r="AL48" i="3" s="1"/>
  <c r="AK47" i="3"/>
  <c r="AL47" i="3" s="1"/>
  <c r="AK46" i="3"/>
  <c r="AL46" i="3" s="1"/>
  <c r="AK45" i="3"/>
  <c r="AL45" i="3" s="1"/>
  <c r="AK44" i="3"/>
  <c r="AL44" i="3" s="1"/>
  <c r="AK43" i="3"/>
  <c r="AL43" i="3" s="1"/>
  <c r="AK42" i="3"/>
  <c r="AL42" i="3" s="1"/>
  <c r="AK41" i="3"/>
  <c r="AL41" i="3" s="1"/>
  <c r="AM40" i="3"/>
  <c r="AM38" i="3"/>
  <c r="AM39" i="3" s="1"/>
  <c r="AO38" i="3"/>
  <c r="AO39" i="3" s="1"/>
  <c r="AO40" i="3"/>
  <c r="AN40" i="3"/>
  <c r="AN38" i="3"/>
  <c r="J21" i="4"/>
  <c r="AM41" i="3" l="1"/>
  <c r="AO41" i="3"/>
  <c r="AN39" i="3"/>
  <c r="AN42" i="3" s="1"/>
  <c r="AM51" i="3"/>
  <c r="AM47" i="3"/>
  <c r="AM43" i="3"/>
  <c r="AM48" i="3"/>
  <c r="AM50" i="3"/>
  <c r="AM46" i="3"/>
  <c r="AM42" i="3"/>
  <c r="AM52" i="3"/>
  <c r="AM44" i="3"/>
  <c r="AM53" i="3"/>
  <c r="AM49" i="3"/>
  <c r="AM45" i="3"/>
  <c r="AO52" i="3"/>
  <c r="AO50" i="3"/>
  <c r="AO48" i="3"/>
  <c r="AO46" i="3"/>
  <c r="AO44" i="3"/>
  <c r="AO42" i="3"/>
  <c r="AO49" i="3"/>
  <c r="AO53" i="3"/>
  <c r="AO51" i="3"/>
  <c r="AO47" i="3"/>
  <c r="AO45" i="3"/>
  <c r="AO43" i="3"/>
  <c r="J45" i="4"/>
  <c r="E71" i="3"/>
  <c r="E60" i="3"/>
  <c r="J60" i="3"/>
  <c r="O67" i="3"/>
  <c r="O68" i="3" s="1"/>
  <c r="O56" i="3"/>
  <c r="O41" i="3"/>
  <c r="O42" i="3" s="1"/>
  <c r="O29" i="3"/>
  <c r="I71" i="3"/>
  <c r="G71" i="3"/>
  <c r="I60" i="3"/>
  <c r="G60" i="3"/>
  <c r="I45" i="3"/>
  <c r="G45" i="3"/>
  <c r="I33" i="3"/>
  <c r="G33" i="3"/>
  <c r="AN50" i="3" l="1"/>
  <c r="AN41" i="3"/>
  <c r="AN43" i="3"/>
  <c r="AN44" i="3"/>
  <c r="AN47" i="3"/>
  <c r="AN45" i="3"/>
  <c r="AN48" i="3"/>
  <c r="AN46" i="3"/>
  <c r="AN51" i="3"/>
  <c r="AN49" i="3"/>
  <c r="AN52" i="3"/>
  <c r="AN53" i="3"/>
  <c r="O58" i="3"/>
  <c r="O57" i="3"/>
  <c r="O69" i="3"/>
  <c r="O31" i="3"/>
  <c r="O30" i="3"/>
  <c r="O43" i="3"/>
  <c r="F61" i="3" l="1"/>
  <c r="H61" i="3"/>
  <c r="C90" i="4" l="1"/>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O71" i="3" l="1"/>
  <c r="E27" i="4"/>
  <c r="M96" i="4"/>
  <c r="J71" i="3" s="1"/>
  <c r="I96" i="4"/>
  <c r="J19" i="4"/>
  <c r="J18" i="4"/>
  <c r="E33" i="3" s="1"/>
  <c r="J17" i="4"/>
  <c r="J15" i="4"/>
  <c r="J14" i="4"/>
  <c r="J13" i="4"/>
  <c r="E33" i="4"/>
  <c r="I74" i="4"/>
  <c r="M55" i="4"/>
  <c r="M54" i="4"/>
  <c r="J47" i="3" s="1"/>
  <c r="L54" i="4"/>
  <c r="I47" i="3" s="1"/>
  <c r="M53" i="4"/>
  <c r="M52" i="4"/>
  <c r="M47" i="4"/>
  <c r="M46" i="4"/>
  <c r="J45" i="3" s="1"/>
  <c r="M45" i="4"/>
  <c r="M14" i="4"/>
  <c r="M15" i="4"/>
  <c r="M19" i="4"/>
  <c r="M18" i="4"/>
  <c r="J33" i="3" s="1"/>
  <c r="M16" i="4"/>
  <c r="M17" i="4"/>
  <c r="M13" i="4"/>
  <c r="M20" i="4"/>
  <c r="E42" i="4"/>
  <c r="K61" i="3" s="1"/>
  <c r="E41" i="4"/>
  <c r="D60" i="3" l="1"/>
  <c r="F60" i="3"/>
  <c r="H60" i="3"/>
  <c r="J47" i="4"/>
  <c r="J46" i="4"/>
  <c r="E45" i="3" s="1"/>
  <c r="J16" i="4"/>
  <c r="J20" i="4"/>
  <c r="V57" i="3"/>
  <c r="V56" i="3"/>
  <c r="D71" i="3"/>
  <c r="H71" i="3"/>
  <c r="H72" i="3"/>
  <c r="F71" i="3"/>
  <c r="F72" i="3"/>
  <c r="I46" i="4"/>
  <c r="I15" i="4"/>
  <c r="I19" i="4"/>
  <c r="I16" i="4"/>
  <c r="I20" i="4"/>
  <c r="I14" i="4"/>
  <c r="I21" i="4"/>
  <c r="I17" i="4"/>
  <c r="I13" i="4"/>
  <c r="I18" i="4"/>
  <c r="H34" i="3"/>
  <c r="F34" i="3"/>
  <c r="O70" i="3"/>
  <c r="I47" i="4"/>
  <c r="I45" i="4"/>
  <c r="AB69" i="3" l="1"/>
  <c r="AB70" i="3" s="1"/>
  <c r="AB67" i="3"/>
  <c r="AB68" i="3"/>
  <c r="AC68" i="3"/>
  <c r="AC69" i="3"/>
  <c r="AC67" i="3"/>
  <c r="K60" i="3"/>
  <c r="U57" i="3" s="1"/>
  <c r="AB58" i="3"/>
  <c r="AB56" i="3"/>
  <c r="AC57" i="3"/>
  <c r="AB57" i="3"/>
  <c r="AC58" i="3"/>
  <c r="AC56" i="3"/>
  <c r="K34" i="3"/>
  <c r="V30" i="3" s="1"/>
  <c r="D45" i="3"/>
  <c r="F46" i="3"/>
  <c r="H46" i="3"/>
  <c r="F45" i="3"/>
  <c r="H45" i="3"/>
  <c r="K72" i="3"/>
  <c r="V68" i="3" s="1"/>
  <c r="D33" i="3"/>
  <c r="F33" i="3"/>
  <c r="K33" i="3" s="1"/>
  <c r="U30" i="3" s="1"/>
  <c r="H33" i="3"/>
  <c r="K71" i="3"/>
  <c r="U68" i="3" s="1"/>
  <c r="O59" i="3"/>
  <c r="O44" i="3"/>
  <c r="O32" i="3"/>
  <c r="U56" i="3" l="1"/>
  <c r="AC59" i="3"/>
  <c r="AC61" i="3" s="1"/>
  <c r="AB29" i="3"/>
  <c r="AB71" i="3"/>
  <c r="AB72" i="3"/>
  <c r="AC70" i="3"/>
  <c r="AB59" i="3"/>
  <c r="AB61" i="3" s="1"/>
  <c r="AC30" i="3"/>
  <c r="AB30" i="3"/>
  <c r="V58" i="3"/>
  <c r="AC29" i="3"/>
  <c r="U58" i="3"/>
  <c r="AC31" i="3"/>
  <c r="AC32" i="3" s="1"/>
  <c r="AC42" i="3"/>
  <c r="AB42" i="3"/>
  <c r="AB31" i="3"/>
  <c r="K46" i="3"/>
  <c r="V42" i="3" s="1"/>
  <c r="AC43" i="3"/>
  <c r="AC44" i="3" s="1"/>
  <c r="AC41" i="3"/>
  <c r="U67" i="3"/>
  <c r="U69" i="3" s="1"/>
  <c r="L71" i="3" s="1"/>
  <c r="AB43" i="3"/>
  <c r="AB44" i="3" s="1"/>
  <c r="AB45" i="3" s="1"/>
  <c r="AB41" i="3"/>
  <c r="V67" i="3"/>
  <c r="V69" i="3" s="1"/>
  <c r="U29" i="3"/>
  <c r="V29" i="3"/>
  <c r="K45" i="3"/>
  <c r="U42" i="3" s="1"/>
  <c r="AB60" i="3" l="1"/>
  <c r="U60" i="3"/>
  <c r="U59" i="3"/>
  <c r="AC60" i="3"/>
  <c r="V60" i="3"/>
  <c r="V59" i="3"/>
  <c r="U71" i="3"/>
  <c r="U70" i="3"/>
  <c r="V71" i="3"/>
  <c r="V70" i="3"/>
  <c r="L72" i="3"/>
  <c r="AC72" i="3"/>
  <c r="AC71" i="3"/>
  <c r="V31" i="3"/>
  <c r="U31" i="3"/>
  <c r="L33" i="3" s="1"/>
  <c r="AB32" i="3"/>
  <c r="AB33" i="3" s="1"/>
  <c r="AC45" i="3"/>
  <c r="U41" i="3"/>
  <c r="V41" i="3"/>
  <c r="V43" i="3" s="1"/>
  <c r="L60" i="3"/>
  <c r="AC33" i="3"/>
  <c r="L61" i="3"/>
  <c r="U43" i="3" l="1"/>
  <c r="L45" i="3" s="1"/>
  <c r="L46" i="3"/>
  <c r="V44" i="3"/>
  <c r="L34" i="3"/>
  <c r="V32" i="3"/>
</calcChain>
</file>

<file path=xl/sharedStrings.xml><?xml version="1.0" encoding="utf-8"?>
<sst xmlns="http://schemas.openxmlformats.org/spreadsheetml/2006/main" count="638" uniqueCount="316">
  <si>
    <t>speed</t>
  </si>
  <si>
    <t>http://en.wikipedia.org/wiki/Drag_coefficient</t>
  </si>
  <si>
    <t>MJ/kg</t>
  </si>
  <si>
    <t>hp</t>
  </si>
  <si>
    <t>=</t>
  </si>
  <si>
    <t>mi/hr</t>
  </si>
  <si>
    <t>http://cs.trains.com/trn/f/741/t/154295.aspx</t>
  </si>
  <si>
    <t>trailer on flatcar</t>
  </si>
  <si>
    <t>www.trforum.org/forum/downloads/2010_91_Impact_Intermodal_Rail_State_Planning.pdf</t>
  </si>
  <si>
    <t>http://cs.trains.com/trn/f/111/t/64572.aspx</t>
  </si>
  <si>
    <t>Power</t>
  </si>
  <si>
    <t>total</t>
  </si>
  <si>
    <t>Boeing 747-8</t>
  </si>
  <si>
    <t>sq ft</t>
  </si>
  <si>
    <t>http://en.wikipedia.org/wiki/Boeing_747</t>
  </si>
  <si>
    <t>feet</t>
  </si>
  <si>
    <t>http://www.aerospaceweb.org/question/aerodynamics/q0184.shtml</t>
  </si>
  <si>
    <t>m/sec</t>
  </si>
  <si>
    <t>gallons</t>
  </si>
  <si>
    <t>http://www.boeing.com/boeing/commercial/747family/747-8_facts.page</t>
  </si>
  <si>
    <t>Assume that:</t>
  </si>
  <si>
    <t>The engine is always running at its maximum attainable efficiency</t>
  </si>
  <si>
    <t>The input variables are:</t>
  </si>
  <si>
    <t>the drag coefficient and associated reference area of the vehicle</t>
  </si>
  <si>
    <t>Method:</t>
  </si>
  <si>
    <t>Road</t>
  </si>
  <si>
    <t>Rail</t>
  </si>
  <si>
    <t>Water</t>
  </si>
  <si>
    <t>Air</t>
  </si>
  <si>
    <t>Notes:</t>
  </si>
  <si>
    <t>the "motive efficiency" of the engine (how much of the energy generated by burning the fuel goes into forward motion)</t>
  </si>
  <si>
    <t>http://en.wikipedia.org/wiki/Automobile_drag_coefficient</t>
  </si>
  <si>
    <t>The calculator needs the following data:</t>
  </si>
  <si>
    <t>1.  Average fuel consumption rate (e.g. miles per gallon or equivalent)</t>
  </si>
  <si>
    <t>Best Cruising Speed for Fuel Economy Calculator</t>
  </si>
  <si>
    <t>Typical</t>
  </si>
  <si>
    <t>mileage</t>
  </si>
  <si>
    <t>Average</t>
  </si>
  <si>
    <t>efficiency</t>
  </si>
  <si>
    <t>(%)</t>
  </si>
  <si>
    <t>Drag</t>
  </si>
  <si>
    <t>Reference</t>
  </si>
  <si>
    <t>Vehicle</t>
  </si>
  <si>
    <t xml:space="preserve"> type</t>
  </si>
  <si>
    <t>On the line below, you can enter different values for any of the input data (in the white boxes) to see how it changes the results.</t>
  </si>
  <si>
    <t>Truck, Class 8</t>
  </si>
  <si>
    <t>drag coeff</t>
  </si>
  <si>
    <t>ref area</t>
  </si>
  <si>
    <t>miles</t>
  </si>
  <si>
    <t>kilometers</t>
  </si>
  <si>
    <t>liters</t>
  </si>
  <si>
    <t>km/l</t>
  </si>
  <si>
    <t>mi/gal</t>
  </si>
  <si>
    <t>sq m</t>
  </si>
  <si>
    <t>jet fuel</t>
  </si>
  <si>
    <t>diesel</t>
  </si>
  <si>
    <t>gasoline</t>
  </si>
  <si>
    <t>Conversions</t>
  </si>
  <si>
    <t>power</t>
  </si>
  <si>
    <t>Motive</t>
  </si>
  <si>
    <t>Best speed</t>
  </si>
  <si>
    <t>for fuel</t>
  </si>
  <si>
    <t>economy</t>
  </si>
  <si>
    <t>Please note:</t>
  </si>
  <si>
    <t>Click in the white units boxes in any column to select metric or U.S. units.</t>
  </si>
  <si>
    <t>(1)</t>
  </si>
  <si>
    <t>(2)</t>
  </si>
  <si>
    <t>(1)  http://www.appropedia.org/Energy_content_of_fuels</t>
  </si>
  <si>
    <t>(2)  http://en.wikipedia.org/wiki/Gasoline</t>
  </si>
  <si>
    <t>Select a vehicle type</t>
  </si>
  <si>
    <t>In the first row of any table, select a vehicle type from the drop-down menu in the leftmost (white) box.  Default values for the input data, for the best speed estimate, and for the mileage at that speed, will appear in the boxes to the right.</t>
  </si>
  <si>
    <t>Mileage</t>
  </si>
  <si>
    <t>at typical</t>
  </si>
  <si>
    <t>km/hr</t>
  </si>
  <si>
    <t>typical speed</t>
  </si>
  <si>
    <t>Fuel type:</t>
  </si>
  <si>
    <t>fuel type</t>
  </si>
  <si>
    <t>Energy content of fuel:</t>
  </si>
  <si>
    <t>kw</t>
  </si>
  <si>
    <t>density</t>
  </si>
  <si>
    <t>kg/l</t>
  </si>
  <si>
    <t>Density of air:</t>
  </si>
  <si>
    <t>kg/m^3</t>
  </si>
  <si>
    <t>Toyota Prius</t>
  </si>
  <si>
    <t>http://ecomodder.com/wiki/index.php/Vehicle_Coefficient_of_Drag_List</t>
  </si>
  <si>
    <t>Dodge Ram</t>
  </si>
  <si>
    <t>Honda Civic Hybrid</t>
  </si>
  <si>
    <t>GMC Sierra</t>
  </si>
  <si>
    <t>cruising</t>
  </si>
  <si>
    <t>Best</t>
  </si>
  <si>
    <t>MJ/l</t>
  </si>
  <si>
    <t>--The calculation assumes that the engine can operate at its maximum efficiency while the vehicle is traveling at the indicated speed.  Transmissions designed for other speed ranges may need to be modified to get the calculated fuel economy in actual use.</t>
  </si>
  <si>
    <t>Energy density of fuel:</t>
  </si>
  <si>
    <t>Density of fuel:</t>
  </si>
  <si>
    <t>N = J/m</t>
  </si>
  <si>
    <t>J/m</t>
  </si>
  <si>
    <t>Non-motive energy per distance at Vbest:</t>
  </si>
  <si>
    <t>Drag force at Vbest:</t>
  </si>
  <si>
    <t>Mileage at Vbest:</t>
  </si>
  <si>
    <t>Take the derivative of the total energy with respect to velocity and set equal to zero to find the minimum total energy required to cover the distance.</t>
  </si>
  <si>
    <t>Write the total travel time over the fixed distance as the distance divided by the velocity.</t>
  </si>
  <si>
    <t>Write the energy released by burning the fuel as two terms:  the motive energy (the fraction that keeps the vehicle moving), plus the non-motive energy (all other energy sinks).</t>
  </si>
  <si>
    <t>Pnon is the rate at which fuel that does not contribute to forward motion is being burned (in terms of the energy contained in the fuel per time).</t>
  </si>
  <si>
    <t>Pnon is thus the fraction of the total power that the engine consumes that is not turned into forward motion.</t>
  </si>
  <si>
    <t>Road vehicle data</t>
  </si>
  <si>
    <t>Sources:</t>
  </si>
  <si>
    <t>Railcar data</t>
  </si>
  <si>
    <t>Select a locomotive type</t>
  </si>
  <si>
    <t>Select a railcar type</t>
  </si>
  <si>
    <t>Number of cars per locomotive</t>
  </si>
  <si>
    <t>container on flatcar, single</t>
  </si>
  <si>
    <t>container on flatcar, double</t>
  </si>
  <si>
    <t>boxcar</t>
  </si>
  <si>
    <t>Dash 9</t>
  </si>
  <si>
    <t>SD40-2</t>
  </si>
  <si>
    <t>SD70</t>
  </si>
  <si>
    <t>(See "Better accuracy" below for information on improving the estimates if more data are available.)</t>
  </si>
  <si>
    <t>Better accuracy:</t>
  </si>
  <si>
    <t>The resulting equation is cubic in velocity.  The solution is the cube root of the ratio of the non-motive power to the mass per distance of air or water acted on by the vehicle:</t>
  </si>
  <si>
    <t>Using the typical performance data as a benchmark makes it possible to calculate the mileage at Vbest without knowing any of the velocity-independent forces.</t>
  </si>
  <si>
    <t>Vbest = (Pnon/ MperD)^(1/3)</t>
  </si>
  <si>
    <t>the total power generated by the engine (as measured by the rate of fuel consumption at some typical speed Vtyp)</t>
  </si>
  <si>
    <t>Increasing the load on the vehicle will increase the overall fuel consumption, but will not (to first approximation) change the velocity dependence.</t>
  </si>
  <si>
    <t>Siemens, Electrical Engineering Handbook, Table 279 (p. 571)</t>
  </si>
  <si>
    <t>http://www.airflowsciences.com/sites/default/files/docs/Rail_Train_Aerodynamics.pdf</t>
  </si>
  <si>
    <t>Jeep Grand Cherokee</t>
  </si>
  <si>
    <t>Enter alternative data:</t>
  </si>
  <si>
    <t>Ford F-150</t>
  </si>
  <si>
    <t>Toyota Camry (4 cyl)</t>
  </si>
  <si>
    <t>Ford Fusion</t>
  </si>
  <si>
    <t>http://www.dailytech.com/Ford+Lightweight+Concept+Removes+800+lbs+from+Fusion+Midsize+Sedan/article35006.htm</t>
  </si>
  <si>
    <t>Ship data</t>
  </si>
  <si>
    <t>Select a ship type</t>
  </si>
  <si>
    <t>Container ship, large</t>
  </si>
  <si>
    <t>knots</t>
  </si>
  <si>
    <t>Railcar</t>
  </si>
  <si>
    <t>Ship</t>
  </si>
  <si>
    <t>fuel</t>
  </si>
  <si>
    <t>source</t>
  </si>
  <si>
    <t>naut mi</t>
  </si>
  <si>
    <t>http://en.wikipedia.org/wiki/Emma_M%C3%A6rsk</t>
  </si>
  <si>
    <t>http://www.ship-technology.com/projects/emmamaerskcontainers/</t>
  </si>
  <si>
    <t>#6 fuel oil</t>
  </si>
  <si>
    <t>(3)</t>
  </si>
  <si>
    <t>(3) http://en.wikipedia.org/wiki/Energy_density</t>
  </si>
  <si>
    <t>Aircraft</t>
  </si>
  <si>
    <t>Aircraft data</t>
  </si>
  <si>
    <t>Select an aircraft type</t>
  </si>
  <si>
    <t>A more accurate model would include the effects of those forces, but would require more detailed information on vehicle characteristics.</t>
  </si>
  <si>
    <t>Density of seawater:</t>
  </si>
  <si>
    <t>http://usatoday30.usatoday.com/weather/wstdatmo.htm</t>
  </si>
  <si>
    <t>Density</t>
  </si>
  <si>
    <t>Pressure</t>
  </si>
  <si>
    <t>Height</t>
  </si>
  <si>
    <t>(kg/m3)</t>
  </si>
  <si>
    <t>(hPa)</t>
  </si>
  <si>
    <t>(C)</t>
  </si>
  <si>
    <t xml:space="preserve">(m)     </t>
  </si>
  <si>
    <t>Temp</t>
  </si>
  <si>
    <t>Air density at cruising altitude</t>
  </si>
  <si>
    <t>Cruising altitude</t>
  </si>
  <si>
    <t xml:space="preserve">(ft)     </t>
  </si>
  <si>
    <t>meters</t>
  </si>
  <si>
    <t>speed(1)</t>
  </si>
  <si>
    <t>power(2)</t>
  </si>
  <si>
    <t>coefficient(3)</t>
  </si>
  <si>
    <t>area(3)</t>
  </si>
  <si>
    <t>(1) Mileage for specific vehicles is based on the EPA highway fuel economy rating for the 2015 model year, unless otherwise noted</t>
  </si>
  <si>
    <t>(2) "Total power" is based on all the energy released when the fuel is burned (not the rated horsepower delivered by the engine).</t>
  </si>
  <si>
    <t>(3)  Drag coefficient for the road vehicle calculation is based on frontal cross-section as reference area.</t>
  </si>
  <si>
    <t>power(1)</t>
  </si>
  <si>
    <t>(1) "Total power" is based on all the energy released when the fuel is burned (not the rated horsepower delivered by the engine).</t>
  </si>
  <si>
    <t>coefficient(2)</t>
  </si>
  <si>
    <t>area(2)</t>
  </si>
  <si>
    <t>(2) Drag coefficient for the ship calculation is based on wetted surface area as reference area</t>
  </si>
  <si>
    <t>(2) Drag coefficient for the aircraft calculation is based on wing area as reference area</t>
  </si>
  <si>
    <t>m/l</t>
  </si>
  <si>
    <t>https://cmst.curtin.edu.au/local/docs/pubs/wortley_2013_cfd_Analysis_of_container_ship_sinkage.pdf</t>
  </si>
  <si>
    <t>(p.8)</t>
  </si>
  <si>
    <t>economy(3)</t>
  </si>
  <si>
    <t>mileage(3)</t>
  </si>
  <si>
    <t>(3) For speeds close to the speed of sound, a more accurate model would estimate a slower best speed and lower best mileage</t>
  </si>
  <si>
    <t>The entire energy vs. velocity curve will be shifted upward as load increases, but the minimum will occur at the same velocity for all loads.</t>
  </si>
  <si>
    <t>non-motive energy</t>
  </si>
  <si>
    <t>+</t>
  </si>
  <si>
    <t>motive energy</t>
  </si>
  <si>
    <t>non-motive power x travel time</t>
  </si>
  <si>
    <t>force x distance traveled</t>
  </si>
  <si>
    <t>Pnon * Ttrav</t>
  </si>
  <si>
    <t>force * Dtrav</t>
  </si>
  <si>
    <t>energy</t>
  </si>
  <si>
    <t>force</t>
  </si>
  <si>
    <t>velocity-independent forces</t>
  </si>
  <si>
    <t>drag force</t>
  </si>
  <si>
    <t>Findep</t>
  </si>
  <si>
    <t>Ttrav</t>
  </si>
  <si>
    <t>distance traveled / velocity</t>
  </si>
  <si>
    <t>Dtrav/V</t>
  </si>
  <si>
    <t>d/dV energy</t>
  </si>
  <si>
    <t>Vbest</t>
  </si>
  <si>
    <t>energy at Vbest</t>
  </si>
  <si>
    <t>Pnon*Dtrav /Vbest</t>
  </si>
  <si>
    <t>0 at Vbest</t>
  </si>
  <si>
    <t>(Pnon/ MperD)^(1/3)</t>
  </si>
  <si>
    <t>Pnon * Dtrav/V</t>
  </si>
  <si>
    <t xml:space="preserve"> - Pnon*Dtrav/V^2</t>
  </si>
  <si>
    <t>MperD*V*Dtrav</t>
  </si>
  <si>
    <t>(1/2)*air mass moved per distance traveled * velocity^2</t>
  </si>
  <si>
    <t>(1/2)*MperD*(V^2) * Dtrav</t>
  </si>
  <si>
    <t>Findep * Dtrav</t>
  </si>
  <si>
    <t>(1/2)*air density * drag area * velocity^2</t>
  </si>
  <si>
    <t>MperD is the product of the density of air or water through which the vehicle is moving times the drag area (reference area times drag coefficient) of the vehicle.</t>
  </si>
  <si>
    <t>Pnon</t>
  </si>
  <si>
    <t>(1 - motive efficiency) * Ptotal</t>
  </si>
  <si>
    <t>Ptotal</t>
  </si>
  <si>
    <t>(1/2)*MperD*(V^2)</t>
  </si>
  <si>
    <t>The vehicle maintains constant speed over the fixed distance Dtrav -- fuel consumed while getting up to speed is not included in the calculation</t>
  </si>
  <si>
    <t>The drag force is the dominant speed-dependent force.  All other forces acting on the vehicle are approximately independent of speed.</t>
  </si>
  <si>
    <t>With the exception of lift-induced drag, most significant correction terms act to impose an additional penalty on higher speed.</t>
  </si>
  <si>
    <t>(2)  Drag coefficient for the railcar calculation is based on frontal cross-section as reference area.</t>
  </si>
  <si>
    <t>units of fuel consumed * energy content of fuel per unit / travel time</t>
  </si>
  <si>
    <t>(1/2)*MperD*(Vbest^2)* Dtrav</t>
  </si>
  <si>
    <t>Energy content of fuels:</t>
  </si>
  <si>
    <t>energy content of fuel by volume / energy consumed per distance at Vbest</t>
  </si>
  <si>
    <t>default data</t>
  </si>
  <si>
    <t>user data</t>
  </si>
  <si>
    <t>Calculations and default data may be modified, based on user comments.</t>
  </si>
  <si>
    <t>Paul Chalmer</t>
  </si>
  <si>
    <t>paulchalmer@earthlink.net</t>
  </si>
  <si>
    <t>(734) 475-0450</t>
  </si>
  <si>
    <t>http://www.aerospaceweb.org/question/aerodynamics/q0252.shtml</t>
  </si>
  <si>
    <t>lift coefficient</t>
  </si>
  <si>
    <t>drag coefficient</t>
  </si>
  <si>
    <t>This calculator estimates the speed at which a vehicle will cover a fixed distance using the least possible amount of fuel.  It applies to road, rail, water, and air transportation.</t>
  </si>
  <si>
    <t>If you have questions or suggestions concerning the spreadsheet, contact:</t>
  </si>
  <si>
    <t>--There are many ways to improve fuel economy that do not depend on speed.  Properly inflated tires, for example, will save fuel whatever the speed.  For detailed information on saving fuel, see http://fueleconomy.gov/.</t>
  </si>
  <si>
    <t>Please note -- this is a draft version, provided for review and comment.</t>
  </si>
  <si>
    <t>at cruising altitude</t>
  </si>
  <si>
    <t>but</t>
  </si>
  <si>
    <t xml:space="preserve">energy at Vtyp </t>
  </si>
  <si>
    <t>-</t>
  </si>
  <si>
    <t>so</t>
  </si>
  <si>
    <t>-  Pnon * Dtrav/Vtyp</t>
  </si>
  <si>
    <t>(1/2)*MperD*(Vtyp^2) * Dtrav</t>
  </si>
  <si>
    <t>- (1/2)*MperD*(Vtyp^2) * Dtrav</t>
  </si>
  <si>
    <t>Non-motive energy per distance at Vtyp:</t>
  </si>
  <si>
    <t>Drag force at Vtyp:</t>
  </si>
  <si>
    <t>Total energy per distance at Vtyp:</t>
  </si>
  <si>
    <t xml:space="preserve">km/l = </t>
  </si>
  <si>
    <t>If the non-motive power generation rate is approximately independent of vehicle speed, we can calculate the mileage by finding the energy per distance at Vbest.</t>
  </si>
  <si>
    <t>mileage at Vbest</t>
  </si>
  <si>
    <t>mileage at Vbest = energy content of fuel by volume / energy per distance at Vbest</t>
  </si>
  <si>
    <t>energy at Vbest = energy at Vtyp + [Pnon*(1/Vbest  - 1/Vtyp)+ (1/2)*MperD*(Vbest^2 - Vtyp^2)] * Dtrav</t>
  </si>
  <si>
    <t>Divide through by Dtrav to convert energy values to energy per distance.</t>
  </si>
  <si>
    <t>energy content of fuel by volume / (energy per distance at Vtyp + Pnon*(1/Vbest  - 1/Vtyp)+ (1/2)*MperD*(Vbest^2 - Vtyp^2))</t>
  </si>
  <si>
    <t>mileage at Vbest = energy content of fuel by volume / (energy per distance at Vtyp + Pnon*(1/Vbest  - 1/Vtyp)+ (1/2)*MperD*(Vbest^2 - Vtyp^2))</t>
  </si>
  <si>
    <t xml:space="preserve">mi/gal = </t>
  </si>
  <si>
    <t>Mileage at Vtyp (check):</t>
  </si>
  <si>
    <t>The mileage can then be found from the energy content of the fuel (so for example, in mpg, energy per gallon / energy per mile = miles / gallon):</t>
  </si>
  <si>
    <t>It is equivalent to the mass of fluid contained in a unit length of a tube of air or water having a cross section equal to the drag area.</t>
  </si>
  <si>
    <t>Examples include effects associated with rolling resistance for road vehicles, flange resistance for railcars, wave and air resistance for ships, and air compressibility for aircraft traveling near the speed of sound.</t>
  </si>
  <si>
    <t>Several forces that have been treated as strictly independent of velocity actually show a small velocity dependence; others may depend strongly on velocity, but are relatively small in the speed ranges of interest here.</t>
  </si>
  <si>
    <t>So the mileage in terms of Vbest and Vtyp is:</t>
  </si>
  <si>
    <t>For each transportation mode, find the cruising speed that covers a fixed distance with minimum fuel consumption and emissions:</t>
  </si>
  <si>
    <t xml:space="preserve">Write the non-motive energy in terms of power (Pnon) times the travel time (Ttrav), and the motive energy in terms of force times distance. </t>
  </si>
  <si>
    <t>The typical speed and mileage specified in the input data should reflect the load range of interest.</t>
  </si>
  <si>
    <t xml:space="preserve">This requires a value for Findep, the forces on the vehicle other than the drag force. </t>
  </si>
  <si>
    <t>Rearrange the equation for the total energy consumed at Vtyp to write Findep in terms of the input data.</t>
  </si>
  <si>
    <t>Since Findep is assumed to depend only weakly on velocity, we can find its value at Vtyp and use that value in the equation for Vbest.</t>
  </si>
  <si>
    <t>Substitute that value into the equation for the energy at Vbest and simplify:</t>
  </si>
  <si>
    <t>To display:</t>
  </si>
  <si>
    <t>Select "Unprotect Sheet" on the Review tab</t>
  </si>
  <si>
    <t>Select columns M through AE</t>
  </si>
  <si>
    <t>Right click and select "Unhide"</t>
  </si>
  <si>
    <t>Columns N through AD contain fuel and density data, and results of intermediate calculations.</t>
  </si>
  <si>
    <t>Default data are provided for a range of typical vehicles.</t>
  </si>
  <si>
    <t>3.  The drag coefficient and reference area of the vehicle</t>
  </si>
  <si>
    <t>http://www.alkrug.vcn.com/rrfacts/fueluse.htm</t>
  </si>
  <si>
    <t xml:space="preserve">energy per distance at Vtyp = </t>
  </si>
  <si>
    <t>from explanation page, substituting any general velocity V for Vbest:</t>
  </si>
  <si>
    <t>energy content of fuel by volume / (energy per distance at Vtyp + Pnon*(1/V  - 1/Vtyp)+ (1/2)*MperD*(V^2 - Vtyp^2))</t>
  </si>
  <si>
    <t>mileage at V =</t>
  </si>
  <si>
    <t>energy per volume of fuel / distance per volume of fuel</t>
  </si>
  <si>
    <t>energy per volume of fuel / mileage at Vtyp</t>
  </si>
  <si>
    <t>energy per volume of fuel / (energy per volume of fuel/mileage at Vtyp + Pnon*(1/V  - 1/Vtyp)+ (1/2)*MperD*(V^2 - Vtyp^2))</t>
  </si>
  <si>
    <t>V</t>
  </si>
  <si>
    <t>(mi/gal)</t>
  </si>
  <si>
    <t>(mph)</t>
  </si>
  <si>
    <t>(km/h)</t>
  </si>
  <si>
    <r>
      <rPr>
        <b/>
        <sz val="11"/>
        <color theme="1"/>
        <rFont val="Calibri"/>
        <family val="2"/>
        <scheme val="minor"/>
      </rPr>
      <t>mileage at V</t>
    </r>
    <r>
      <rPr>
        <sz val="11"/>
        <color theme="1"/>
        <rFont val="Calibri"/>
        <family val="2"/>
        <scheme val="minor"/>
      </rPr>
      <t xml:space="preserve"> (mi/gal)</t>
    </r>
  </si>
  <si>
    <t>End V:</t>
  </si>
  <si>
    <t>Start V:</t>
  </si>
  <si>
    <t>energy per volume of fuel (MJ/liter):</t>
  </si>
  <si>
    <t>Pnon (W):</t>
  </si>
  <si>
    <t>MperD (kg/m):</t>
  </si>
  <si>
    <t>http://www.fueleconomy.gov/feg/fe_test_schedules.shtml</t>
  </si>
  <si>
    <t xml:space="preserve">48.3 mph average speed for EPA highway fuel economy test driving schedule </t>
  </si>
  <si>
    <t>Areas</t>
  </si>
  <si>
    <t>Distances</t>
  </si>
  <si>
    <t>Volumes</t>
  </si>
  <si>
    <t>DistperVol</t>
  </si>
  <si>
    <t>Powers</t>
  </si>
  <si>
    <t>Speeds</t>
  </si>
  <si>
    <t>Altitudes</t>
  </si>
  <si>
    <t>Write the force on the vehicle in terms of velocity, plus non-velocity dependent terms.  Assume that the drag force is the only significant velocity dependent term.</t>
  </si>
  <si>
    <t>The coefficient in the drag term is MperD, the mass of fluid that the vehicle displaces per unit of distance traveled.</t>
  </si>
  <si>
    <t>Thus, in general, a more accurate model will produce somewhat lower estimates for the best speed for fuel economy, and lower estimates for best mileage, than these calculators provide.</t>
  </si>
  <si>
    <t>(The drag force equals the rate at which the vehicle transfers momentum to that mass.)</t>
  </si>
  <si>
    <t>--See the "explanation" tab for the calculation method and additional details.  See also http://www.tercenter.org/best_speed.cfm for additional details and discussions of specific results.</t>
  </si>
  <si>
    <t>2.  Engine "motive" efficiency (defined here as the ratio of the energy that is turned into forward motion to the total energy released by burning the fuel)</t>
  </si>
  <si>
    <t>Expanding Pnon as a power series in velocity, note that for small changes in velocity, the dominant velocity dependent term in Pnon will be the term that is linear in velocity.</t>
  </si>
  <si>
    <t>In the energy versus velocity equation above, Pnon is multiplied by (Dtrav/V).  That cancels the velocity dependence in the linear term.  As a result, that term does not affect the best speed calculation.</t>
  </si>
  <si>
    <t>It will, however, change the calculation of mileage, since (as far as the energy vs. speed equation is concerned)  it acts like a contribution to Findep.</t>
  </si>
  <si>
    <t>The current version of the calculator does not account for this correction.  Including it will lower the calculated best mileage for a given best speed.</t>
  </si>
  <si>
    <t>Non-motive power (Pnon) has also been treated as constant to simplify the calculation, but it will actually rise or fall with overall energy consumption rate (since we are assuming constant efficiency).</t>
  </si>
  <si>
    <t>(The velocity dependence of Pnon is canceled by the factor of Dtrav/V -- see "Better accuracy" below for more information.)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</si>
</sst>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_);_(* \(#,##0\);_(* &quot;-&quot;??_);_(@_)"/>
    <numFmt numFmtId="165" formatCode="0.0"/>
    <numFmt numFmtId="166" formatCode="_(* #,##0.000_);_(* \(#,##0.000\);_(* &quot;-&quot;??_);_(@_)"/>
    <numFmt numFmtId="167" formatCode="0.000"/>
    <numFmt numFmtId="168" formatCode="0.00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u/>
      <sz val="11"/>
      <color theme="10"/>
      <name val="Calibri"/>
      <family val="2"/>
      <scheme val="minor"/>
    </font>
    <font>
      <b/>
      <sz val="11"/>
      <name val="Calibri"/>
      <family val="2"/>
      <scheme val="minor"/>
    </font>
  </fonts>
  <fills count="6">
    <fill>
      <patternFill patternType="none"/>
    </fill>
    <fill>
      <patternFill patternType="gray125"/>
    </fill>
    <fill>
      <patternFill patternType="solid">
        <fgColor theme="4" tint="0.59999389629810485"/>
        <bgColor indexed="64"/>
      </patternFill>
    </fill>
    <fill>
      <patternFill patternType="solid">
        <fgColor theme="7" tint="0.39997558519241921"/>
        <bgColor indexed="64"/>
      </patternFill>
    </fill>
    <fill>
      <patternFill patternType="solid">
        <fgColor theme="0" tint="-0.34998626667073579"/>
        <bgColor indexed="64"/>
      </patternFill>
    </fill>
    <fill>
      <patternFill patternType="solid">
        <fgColor rgb="FFFFFF0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163">
    <xf numFmtId="0" fontId="0" fillId="0" borderId="0" xfId="0"/>
    <xf numFmtId="0" fontId="0" fillId="0" borderId="0" xfId="0" applyProtection="1">
      <protection locked="0"/>
    </xf>
    <xf numFmtId="0" fontId="0" fillId="0" borderId="0" xfId="0" applyAlignment="1">
      <alignment horizontal="right"/>
    </xf>
    <xf numFmtId="0" fontId="0" fillId="0" borderId="4" xfId="0" applyBorder="1" applyProtection="1">
      <protection locked="0"/>
    </xf>
    <xf numFmtId="0" fontId="0" fillId="0" borderId="0" xfId="0" applyBorder="1" applyProtection="1">
      <protection locked="0"/>
    </xf>
    <xf numFmtId="0" fontId="0" fillId="0" borderId="0" xfId="0" applyBorder="1"/>
    <xf numFmtId="0" fontId="0" fillId="0" borderId="0" xfId="0" applyBorder="1" applyAlignment="1">
      <alignment horizontal="right"/>
    </xf>
    <xf numFmtId="0" fontId="0" fillId="0" borderId="0" xfId="0" quotePrefix="1"/>
    <xf numFmtId="0" fontId="3" fillId="0" borderId="0" xfId="0" applyFont="1"/>
    <xf numFmtId="0" fontId="4" fillId="0" borderId="0" xfId="0" applyFont="1"/>
    <xf numFmtId="0" fontId="0" fillId="0" borderId="0" xfId="0" applyAlignment="1">
      <alignment horizontal="center"/>
    </xf>
    <xf numFmtId="0" fontId="2" fillId="0" borderId="3"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4" xfId="0" applyBorder="1"/>
    <xf numFmtId="0" fontId="0" fillId="0" borderId="5" xfId="0" applyBorder="1"/>
    <xf numFmtId="0" fontId="0" fillId="0" borderId="12" xfId="0" applyBorder="1"/>
    <xf numFmtId="0" fontId="0" fillId="0" borderId="13" xfId="0" applyBorder="1"/>
    <xf numFmtId="0" fontId="0" fillId="0" borderId="14" xfId="0" applyBorder="1"/>
    <xf numFmtId="0" fontId="0" fillId="0" borderId="18" xfId="0" applyBorder="1"/>
    <xf numFmtId="0" fontId="2" fillId="2" borderId="7" xfId="0" applyFont="1" applyFill="1" applyBorder="1" applyAlignment="1">
      <alignment horizontal="center"/>
    </xf>
    <xf numFmtId="0" fontId="2" fillId="2" borderId="37" xfId="0" applyFont="1" applyFill="1" applyBorder="1" applyAlignment="1">
      <alignment horizontal="center"/>
    </xf>
    <xf numFmtId="0" fontId="2" fillId="2" borderId="34" xfId="0" applyFont="1" applyFill="1" applyBorder="1" applyAlignment="1">
      <alignment horizontal="center"/>
    </xf>
    <xf numFmtId="0" fontId="2" fillId="2" borderId="24" xfId="0" applyFont="1" applyFill="1" applyBorder="1" applyAlignment="1">
      <alignment horizontal="center"/>
    </xf>
    <xf numFmtId="0" fontId="2" fillId="2" borderId="25" xfId="0" applyFont="1" applyFill="1" applyBorder="1" applyAlignment="1">
      <alignment horizontal="center"/>
    </xf>
    <xf numFmtId="0" fontId="0" fillId="2" borderId="27" xfId="0" applyFill="1" applyBorder="1" applyAlignment="1">
      <alignment horizontal="center"/>
    </xf>
    <xf numFmtId="9" fontId="0" fillId="3" borderId="20" xfId="2" applyFont="1" applyFill="1" applyBorder="1"/>
    <xf numFmtId="2" fontId="0" fillId="3" borderId="20" xfId="0" applyNumberFormat="1" applyFill="1" applyBorder="1"/>
    <xf numFmtId="0" fontId="0" fillId="0" borderId="27" xfId="0" applyFill="1" applyBorder="1" applyAlignment="1">
      <alignment horizontal="center"/>
    </xf>
    <xf numFmtId="0" fontId="0" fillId="0" borderId="26" xfId="0" applyFill="1" applyBorder="1" applyAlignment="1">
      <alignment horizontal="center"/>
    </xf>
    <xf numFmtId="0" fontId="0" fillId="0" borderId="28" xfId="0" applyFill="1" applyBorder="1" applyAlignment="1">
      <alignment horizontal="center"/>
    </xf>
    <xf numFmtId="0" fontId="2" fillId="2" borderId="11" xfId="0" applyFont="1" applyFill="1" applyBorder="1" applyAlignment="1">
      <alignment horizontal="center"/>
    </xf>
    <xf numFmtId="0" fontId="2" fillId="2" borderId="38" xfId="0" applyFont="1" applyFill="1" applyBorder="1" applyAlignment="1">
      <alignment horizontal="center"/>
    </xf>
    <xf numFmtId="0" fontId="2" fillId="2" borderId="39" xfId="0" applyFont="1" applyFill="1" applyBorder="1" applyAlignment="1">
      <alignment horizontal="center"/>
    </xf>
    <xf numFmtId="0" fontId="0" fillId="0" borderId="0" xfId="0" applyFill="1"/>
    <xf numFmtId="165" fontId="0" fillId="3" borderId="20" xfId="0" applyNumberFormat="1" applyFill="1" applyBorder="1"/>
    <xf numFmtId="165" fontId="2" fillId="3" borderId="21" xfId="0" applyNumberFormat="1" applyFont="1" applyFill="1" applyBorder="1"/>
    <xf numFmtId="165" fontId="0" fillId="0" borderId="0" xfId="0" applyNumberFormat="1"/>
    <xf numFmtId="2" fontId="0" fillId="0" borderId="0" xfId="0" applyNumberFormat="1"/>
    <xf numFmtId="0" fontId="2" fillId="2" borderId="40" xfId="0" applyFont="1" applyFill="1" applyBorder="1" applyAlignment="1">
      <alignment horizontal="center"/>
    </xf>
    <xf numFmtId="0" fontId="2" fillId="2" borderId="23" xfId="0" applyFont="1" applyFill="1" applyBorder="1" applyAlignment="1">
      <alignment horizontal="center"/>
    </xf>
    <xf numFmtId="0" fontId="0" fillId="2" borderId="32" xfId="0" applyFill="1" applyBorder="1" applyAlignment="1">
      <alignment horizontal="center"/>
    </xf>
    <xf numFmtId="0" fontId="0" fillId="3" borderId="41" xfId="0" applyFill="1" applyBorder="1"/>
    <xf numFmtId="0" fontId="0" fillId="0" borderId="42" xfId="0" applyBorder="1"/>
    <xf numFmtId="0" fontId="0" fillId="0" borderId="32" xfId="0" applyFill="1" applyBorder="1" applyAlignment="1">
      <alignment horizontal="center"/>
    </xf>
    <xf numFmtId="1" fontId="0" fillId="3" borderId="41" xfId="0" applyNumberFormat="1" applyFill="1" applyBorder="1"/>
    <xf numFmtId="0" fontId="2" fillId="2" borderId="6" xfId="0" applyFont="1" applyFill="1" applyBorder="1" applyAlignment="1">
      <alignment horizontal="center"/>
    </xf>
    <xf numFmtId="0" fontId="2" fillId="2" borderId="10" xfId="0" applyFont="1" applyFill="1" applyBorder="1" applyAlignment="1">
      <alignment horizontal="center"/>
    </xf>
    <xf numFmtId="0" fontId="2" fillId="2" borderId="22" xfId="0" applyFont="1" applyFill="1" applyBorder="1" applyAlignment="1">
      <alignment horizontal="center"/>
    </xf>
    <xf numFmtId="0" fontId="0" fillId="2" borderId="31" xfId="0" applyFill="1" applyBorder="1"/>
    <xf numFmtId="0" fontId="0" fillId="0" borderId="33" xfId="0" applyFill="1" applyBorder="1"/>
    <xf numFmtId="9" fontId="0" fillId="0" borderId="18" xfId="2" applyFont="1" applyBorder="1"/>
    <xf numFmtId="165" fontId="2" fillId="3" borderId="17" xfId="0" applyNumberFormat="1" applyFont="1" applyFill="1" applyBorder="1"/>
    <xf numFmtId="165" fontId="2" fillId="3" borderId="15" xfId="0" quotePrefix="1" applyNumberFormat="1" applyFont="1" applyFill="1" applyBorder="1"/>
    <xf numFmtId="165" fontId="2" fillId="3" borderId="19" xfId="0" applyNumberFormat="1" applyFont="1" applyFill="1" applyBorder="1"/>
    <xf numFmtId="0" fontId="0" fillId="0" borderId="16" xfId="0" applyBorder="1" applyAlignment="1">
      <alignment horizontal="center"/>
    </xf>
    <xf numFmtId="1" fontId="0" fillId="4" borderId="41" xfId="0" applyNumberFormat="1" applyFill="1" applyBorder="1"/>
    <xf numFmtId="165" fontId="0" fillId="4" borderId="20" xfId="0" applyNumberFormat="1" applyFill="1" applyBorder="1"/>
    <xf numFmtId="1" fontId="0" fillId="4" borderId="20" xfId="0" applyNumberFormat="1" applyFill="1" applyBorder="1"/>
    <xf numFmtId="9" fontId="0" fillId="4" borderId="20" xfId="2" applyFont="1" applyFill="1" applyBorder="1"/>
    <xf numFmtId="1" fontId="0" fillId="4" borderId="21" xfId="0" applyNumberFormat="1" applyFill="1" applyBorder="1"/>
    <xf numFmtId="0" fontId="0" fillId="4" borderId="42" xfId="0" applyFill="1" applyBorder="1"/>
    <xf numFmtId="0" fontId="0" fillId="4" borderId="18" xfId="0" applyFill="1" applyBorder="1"/>
    <xf numFmtId="1" fontId="0" fillId="4" borderId="18" xfId="0" applyNumberFormat="1" applyFill="1" applyBorder="1"/>
    <xf numFmtId="9" fontId="0" fillId="4" borderId="18" xfId="2" applyFont="1" applyFill="1" applyBorder="1"/>
    <xf numFmtId="1" fontId="0" fillId="4" borderId="19" xfId="0" applyNumberFormat="1" applyFill="1" applyBorder="1"/>
    <xf numFmtId="165" fontId="2" fillId="4" borderId="15" xfId="0" quotePrefix="1" applyNumberFormat="1" applyFont="1" applyFill="1" applyBorder="1"/>
    <xf numFmtId="165" fontId="2" fillId="4" borderId="21" xfId="0" applyNumberFormat="1" applyFont="1" applyFill="1" applyBorder="1"/>
    <xf numFmtId="165" fontId="2" fillId="4" borderId="17" xfId="0" applyNumberFormat="1" applyFont="1" applyFill="1" applyBorder="1"/>
    <xf numFmtId="165" fontId="2" fillId="4" borderId="19" xfId="0" applyNumberFormat="1" applyFont="1" applyFill="1" applyBorder="1"/>
    <xf numFmtId="0" fontId="0" fillId="2" borderId="16" xfId="0" applyFill="1" applyBorder="1" applyAlignment="1">
      <alignment horizontal="right"/>
    </xf>
    <xf numFmtId="168" fontId="0" fillId="3" borderId="41" xfId="0" applyNumberFormat="1" applyFill="1" applyBorder="1"/>
    <xf numFmtId="2" fontId="0" fillId="3" borderId="41" xfId="0" applyNumberFormat="1" applyFill="1" applyBorder="1"/>
    <xf numFmtId="0" fontId="0" fillId="0" borderId="1" xfId="0" applyBorder="1"/>
    <xf numFmtId="0" fontId="0" fillId="0" borderId="2" xfId="0" applyBorder="1"/>
    <xf numFmtId="0" fontId="0" fillId="0" borderId="0" xfId="0" applyFont="1" applyBorder="1" applyAlignment="1">
      <alignment horizontal="center"/>
    </xf>
    <xf numFmtId="0" fontId="0" fillId="0" borderId="5" xfId="0" applyFont="1" applyBorder="1" applyAlignment="1">
      <alignment horizontal="center"/>
    </xf>
    <xf numFmtId="0" fontId="0" fillId="0" borderId="4" xfId="0" quotePrefix="1" applyBorder="1" applyAlignment="1">
      <alignment horizontal="right"/>
    </xf>
    <xf numFmtId="0" fontId="0" fillId="0" borderId="12" xfId="0" quotePrefix="1" applyBorder="1" applyAlignment="1">
      <alignment horizontal="right"/>
    </xf>
    <xf numFmtId="0" fontId="2" fillId="0" borderId="1" xfId="0" applyFont="1" applyBorder="1"/>
    <xf numFmtId="0" fontId="0" fillId="0" borderId="3" xfId="0" applyBorder="1"/>
    <xf numFmtId="0" fontId="0" fillId="0" borderId="4" xfId="0" applyFont="1" applyBorder="1" applyAlignment="1">
      <alignment horizontal="center"/>
    </xf>
    <xf numFmtId="0" fontId="0" fillId="0" borderId="0" xfId="0" applyFill="1" applyBorder="1"/>
    <xf numFmtId="0" fontId="0" fillId="0" borderId="13" xfId="0" applyFill="1" applyBorder="1"/>
    <xf numFmtId="0" fontId="2" fillId="2" borderId="33" xfId="0" applyFont="1" applyFill="1" applyBorder="1" applyAlignment="1">
      <alignment horizontal="center"/>
    </xf>
    <xf numFmtId="0" fontId="0" fillId="0" borderId="36" xfId="0" applyFill="1" applyBorder="1"/>
    <xf numFmtId="0" fontId="0" fillId="0" borderId="44" xfId="0" applyBorder="1"/>
    <xf numFmtId="0" fontId="0" fillId="0" borderId="36" xfId="0" applyBorder="1"/>
    <xf numFmtId="0" fontId="0" fillId="0" borderId="8" xfId="0" applyBorder="1"/>
    <xf numFmtId="0" fontId="0" fillId="0" borderId="9" xfId="0" applyBorder="1"/>
    <xf numFmtId="0" fontId="2" fillId="0" borderId="4" xfId="0" applyFont="1" applyBorder="1" applyAlignment="1">
      <alignment horizontal="center"/>
    </xf>
    <xf numFmtId="0" fontId="0" fillId="0" borderId="4" xfId="0" applyBorder="1" applyAlignment="1">
      <alignment horizontal="center"/>
    </xf>
    <xf numFmtId="164" fontId="0" fillId="0" borderId="26" xfId="1" applyNumberFormat="1" applyFont="1" applyBorder="1" applyAlignment="1">
      <alignment horizontal="center"/>
    </xf>
    <xf numFmtId="0" fontId="0" fillId="0" borderId="14" xfId="0" applyBorder="1" applyAlignment="1">
      <alignment horizontal="left"/>
    </xf>
    <xf numFmtId="164" fontId="0" fillId="3" borderId="20" xfId="1" applyNumberFormat="1" applyFont="1" applyFill="1" applyBorder="1"/>
    <xf numFmtId="164" fontId="0" fillId="3" borderId="18" xfId="1" applyNumberFormat="1" applyFont="1" applyFill="1" applyBorder="1"/>
    <xf numFmtId="164" fontId="0" fillId="3" borderId="21" xfId="1" applyNumberFormat="1" applyFont="1" applyFill="1" applyBorder="1"/>
    <xf numFmtId="164" fontId="0" fillId="3" borderId="19" xfId="1" applyNumberFormat="1" applyFont="1" applyFill="1" applyBorder="1"/>
    <xf numFmtId="164" fontId="0" fillId="0" borderId="0" xfId="1" applyNumberFormat="1" applyFont="1"/>
    <xf numFmtId="2" fontId="0" fillId="0" borderId="18" xfId="0" applyNumberFormat="1" applyBorder="1"/>
    <xf numFmtId="2" fontId="2" fillId="3" borderId="21" xfId="0" applyNumberFormat="1" applyFont="1" applyFill="1" applyBorder="1"/>
    <xf numFmtId="2" fontId="2" fillId="3" borderId="19" xfId="0" applyNumberFormat="1" applyFont="1" applyFill="1" applyBorder="1"/>
    <xf numFmtId="0" fontId="0" fillId="0" borderId="0" xfId="0" applyAlignment="1">
      <alignment horizontal="left"/>
    </xf>
    <xf numFmtId="0" fontId="0" fillId="0" borderId="29" xfId="0" applyBorder="1"/>
    <xf numFmtId="0" fontId="0" fillId="0" borderId="35" xfId="0" applyBorder="1"/>
    <xf numFmtId="0" fontId="0" fillId="0" borderId="30" xfId="0" applyBorder="1"/>
    <xf numFmtId="0" fontId="0" fillId="0" borderId="29" xfId="0" applyBorder="1" applyAlignment="1">
      <alignment horizontal="right"/>
    </xf>
    <xf numFmtId="0" fontId="0" fillId="0" borderId="29" xfId="0" applyBorder="1" applyAlignment="1">
      <alignment horizontal="left"/>
    </xf>
    <xf numFmtId="0" fontId="0" fillId="0" borderId="0" xfId="0" quotePrefix="1" applyFill="1" applyBorder="1"/>
    <xf numFmtId="0" fontId="5" fillId="0" borderId="0" xfId="3" applyBorder="1"/>
    <xf numFmtId="0" fontId="6" fillId="0" borderId="1" xfId="0" applyFont="1" applyBorder="1"/>
    <xf numFmtId="167" fontId="0" fillId="0" borderId="0" xfId="0" applyNumberFormat="1"/>
    <xf numFmtId="0" fontId="0" fillId="0" borderId="1" xfId="0" applyBorder="1" applyAlignment="1">
      <alignment horizontal="right"/>
    </xf>
    <xf numFmtId="0" fontId="0" fillId="0" borderId="2" xfId="0" applyFill="1" applyBorder="1"/>
    <xf numFmtId="0" fontId="0" fillId="0" borderId="13" xfId="0" quotePrefix="1" applyFill="1" applyBorder="1"/>
    <xf numFmtId="0" fontId="0" fillId="0" borderId="13" xfId="0" quotePrefix="1" applyBorder="1"/>
    <xf numFmtId="43" fontId="0" fillId="0" borderId="0" xfId="0" applyNumberFormat="1"/>
    <xf numFmtId="166" fontId="0" fillId="0" borderId="0" xfId="0" applyNumberFormat="1"/>
    <xf numFmtId="0" fontId="0" fillId="0" borderId="0" xfId="0" applyBorder="1" applyAlignment="1">
      <alignment horizontal="left"/>
    </xf>
    <xf numFmtId="0" fontId="0" fillId="0" borderId="35" xfId="0" quotePrefix="1" applyFill="1" applyBorder="1"/>
    <xf numFmtId="0" fontId="0" fillId="0" borderId="35" xfId="0" applyFill="1" applyBorder="1"/>
    <xf numFmtId="0" fontId="0" fillId="0" borderId="0" xfId="0" quotePrefix="1" applyAlignment="1">
      <alignment horizontal="right"/>
    </xf>
    <xf numFmtId="0" fontId="0" fillId="0" borderId="0" xfId="0" applyFont="1" applyAlignment="1">
      <alignment horizontal="center"/>
    </xf>
    <xf numFmtId="0" fontId="0" fillId="5" borderId="0" xfId="0" applyFill="1"/>
    <xf numFmtId="0" fontId="0" fillId="0" borderId="0" xfId="0" quotePrefix="1" applyFill="1"/>
    <xf numFmtId="0" fontId="0" fillId="2" borderId="12" xfId="0" applyFill="1" applyBorder="1"/>
    <xf numFmtId="0" fontId="0" fillId="2" borderId="45" xfId="0" applyFill="1" applyBorder="1"/>
    <xf numFmtId="0" fontId="0" fillId="0" borderId="45" xfId="0" applyFill="1" applyBorder="1" applyAlignment="1">
      <alignment horizontal="center"/>
    </xf>
    <xf numFmtId="0" fontId="0" fillId="0" borderId="47" xfId="0" applyFill="1" applyBorder="1" applyAlignment="1">
      <alignment horizontal="center"/>
    </xf>
    <xf numFmtId="0" fontId="0" fillId="2" borderId="47" xfId="0" applyFill="1" applyBorder="1"/>
    <xf numFmtId="0" fontId="0" fillId="2" borderId="27" xfId="0" applyFill="1" applyBorder="1"/>
    <xf numFmtId="0" fontId="0" fillId="2" borderId="26" xfId="0" applyFill="1" applyBorder="1" applyAlignment="1">
      <alignment horizontal="center"/>
    </xf>
    <xf numFmtId="0" fontId="0" fillId="2" borderId="28" xfId="0" applyFill="1" applyBorder="1"/>
    <xf numFmtId="0" fontId="0" fillId="3" borderId="24" xfId="0" applyFill="1" applyBorder="1"/>
    <xf numFmtId="0" fontId="0" fillId="3" borderId="24" xfId="0" quotePrefix="1" applyFill="1" applyBorder="1"/>
    <xf numFmtId="0" fontId="0" fillId="3" borderId="25" xfId="0" quotePrefix="1" applyFill="1" applyBorder="1"/>
    <xf numFmtId="0" fontId="0" fillId="3" borderId="45" xfId="0" applyFill="1" applyBorder="1"/>
    <xf numFmtId="0" fontId="0" fillId="3" borderId="45" xfId="0" quotePrefix="1" applyFill="1" applyBorder="1"/>
    <xf numFmtId="0" fontId="0" fillId="3" borderId="47" xfId="0" quotePrefix="1" applyFill="1" applyBorder="1"/>
    <xf numFmtId="0" fontId="0" fillId="3" borderId="27" xfId="0" applyFill="1" applyBorder="1"/>
    <xf numFmtId="0" fontId="0" fillId="3" borderId="27" xfId="0" quotePrefix="1" applyFill="1" applyBorder="1"/>
    <xf numFmtId="0" fontId="0" fillId="3" borderId="28" xfId="0" quotePrefix="1" applyFill="1" applyBorder="1"/>
    <xf numFmtId="0" fontId="0" fillId="2" borderId="15" xfId="0" applyFill="1" applyBorder="1" applyAlignment="1">
      <alignment horizontal="right"/>
    </xf>
    <xf numFmtId="0" fontId="0" fillId="2" borderId="46" xfId="0" applyFill="1" applyBorder="1" applyAlignment="1">
      <alignment horizontal="right"/>
    </xf>
    <xf numFmtId="0" fontId="0" fillId="0" borderId="48" xfId="0" applyFill="1" applyBorder="1" applyAlignment="1">
      <alignment horizontal="center"/>
    </xf>
    <xf numFmtId="0" fontId="0" fillId="2" borderId="48" xfId="0" applyFill="1" applyBorder="1"/>
    <xf numFmtId="0" fontId="0" fillId="0" borderId="21" xfId="0" applyFill="1" applyBorder="1"/>
    <xf numFmtId="0" fontId="0" fillId="0" borderId="47" xfId="0" applyFill="1" applyBorder="1"/>
    <xf numFmtId="0" fontId="0" fillId="2" borderId="28" xfId="0" applyFill="1" applyBorder="1" applyAlignment="1">
      <alignment horizontal="center"/>
    </xf>
    <xf numFmtId="0" fontId="0" fillId="3" borderId="34" xfId="0" applyFill="1" applyBorder="1"/>
    <xf numFmtId="0" fontId="0" fillId="3" borderId="46" xfId="0" applyFill="1" applyBorder="1"/>
    <xf numFmtId="0" fontId="0" fillId="3" borderId="26" xfId="0" applyFill="1" applyBorder="1"/>
    <xf numFmtId="0" fontId="2" fillId="0" borderId="43" xfId="0" applyFont="1" applyBorder="1"/>
    <xf numFmtId="0" fontId="0" fillId="0" borderId="49" xfId="0" applyBorder="1"/>
    <xf numFmtId="0" fontId="5" fillId="0" borderId="4" xfId="3" applyBorder="1"/>
    <xf numFmtId="0" fontId="0" fillId="2" borderId="41" xfId="0" applyFont="1" applyFill="1" applyBorder="1" applyAlignment="1">
      <alignment horizontal="center"/>
    </xf>
    <xf numFmtId="0" fontId="0" fillId="2" borderId="20" xfId="0" applyFont="1" applyFill="1" applyBorder="1" applyAlignment="1">
      <alignment horizontal="center"/>
    </xf>
    <xf numFmtId="0" fontId="0" fillId="2" borderId="21" xfId="0" applyFont="1" applyFill="1" applyBorder="1" applyAlignment="1">
      <alignment horizontal="center"/>
    </xf>
    <xf numFmtId="0" fontId="2" fillId="2" borderId="43" xfId="0" applyFont="1" applyFill="1" applyBorder="1" applyAlignment="1">
      <alignment horizontal="center"/>
    </xf>
    <xf numFmtId="0" fontId="2" fillId="2" borderId="9" xfId="0" applyFont="1" applyFill="1" applyBorder="1" applyAlignment="1">
      <alignment horizontal="center"/>
    </xf>
    <xf numFmtId="0" fontId="2" fillId="2" borderId="8" xfId="0" applyFont="1" applyFill="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Mileage vs. Speed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7692038495188118E-2"/>
          <c:y val="0.17171296296296298"/>
          <c:w val="0.88386351706036748"/>
          <c:h val="0.72088764946048411"/>
        </c:manualLayout>
      </c:layout>
      <c:scatterChart>
        <c:scatterStyle val="smoothMarker"/>
        <c:varyColors val="0"/>
        <c:ser>
          <c:idx val="1"/>
          <c:order val="0"/>
          <c:tx>
            <c:strRef>
              <c:f>calculations!$AM$37</c:f>
              <c:strCache>
                <c:ptCount val="1"/>
                <c:pt idx="0">
                  <c:v>Truck, Class 8</c:v>
                </c:pt>
              </c:strCache>
            </c:strRef>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calculations!$AK$41:$AK$53</c:f>
              <c:numCache>
                <c:formatCode>General</c:formatCode>
                <c:ptCount val="13"/>
                <c:pt idx="0">
                  <c:v>40</c:v>
                </c:pt>
                <c:pt idx="1">
                  <c:v>45</c:v>
                </c:pt>
                <c:pt idx="2">
                  <c:v>50</c:v>
                </c:pt>
                <c:pt idx="3">
                  <c:v>55</c:v>
                </c:pt>
                <c:pt idx="4">
                  <c:v>60</c:v>
                </c:pt>
                <c:pt idx="5">
                  <c:v>65</c:v>
                </c:pt>
                <c:pt idx="6">
                  <c:v>70</c:v>
                </c:pt>
                <c:pt idx="7">
                  <c:v>75</c:v>
                </c:pt>
                <c:pt idx="8">
                  <c:v>80</c:v>
                </c:pt>
                <c:pt idx="9">
                  <c:v>85</c:v>
                </c:pt>
                <c:pt idx="10">
                  <c:v>90</c:v>
                </c:pt>
                <c:pt idx="11">
                  <c:v>95</c:v>
                </c:pt>
                <c:pt idx="12">
                  <c:v>100</c:v>
                </c:pt>
              </c:numCache>
            </c:numRef>
          </c:xVal>
          <c:yVal>
            <c:numRef>
              <c:f>calculations!$AM$41:$AM$53</c:f>
              <c:numCache>
                <c:formatCode>General</c:formatCode>
                <c:ptCount val="13"/>
                <c:pt idx="0">
                  <c:v>7.0387974419160777</c:v>
                </c:pt>
                <c:pt idx="1">
                  <c:v>7.4820769105949623</c:v>
                </c:pt>
                <c:pt idx="2">
                  <c:v>7.8010108041183432</c:v>
                </c:pt>
                <c:pt idx="3">
                  <c:v>8</c:v>
                </c:pt>
                <c:pt idx="4">
                  <c:v>8.0882727062831066</c:v>
                </c:pt>
                <c:pt idx="5">
                  <c:v>8.0786282223675183</c:v>
                </c:pt>
                <c:pt idx="6">
                  <c:v>7.9859712087738881</c:v>
                </c:pt>
                <c:pt idx="7">
                  <c:v>7.8259091098646767</c:v>
                </c:pt>
                <c:pt idx="8">
                  <c:v>7.613599844287827</c:v>
                </c:pt>
                <c:pt idx="9">
                  <c:v>7.362935297420881</c:v>
                </c:pt>
                <c:pt idx="10">
                  <c:v>7.0860612996618917</c:v>
                </c:pt>
                <c:pt idx="11">
                  <c:v>6.7931814669448141</c:v>
                </c:pt>
                <c:pt idx="12">
                  <c:v>6.4925700005495592</c:v>
                </c:pt>
              </c:numCache>
            </c:numRef>
          </c:yVal>
          <c:smooth val="1"/>
        </c:ser>
        <c:ser>
          <c:idx val="2"/>
          <c:order val="1"/>
          <c:tx>
            <c:strRef>
              <c:f>calculations!$AN$37</c:f>
              <c:strCache>
                <c:ptCount val="1"/>
                <c:pt idx="0">
                  <c:v>Truck, Class 8</c:v>
                </c:pt>
              </c:strCache>
            </c:strRef>
          </c:tx>
          <c:spPr>
            <a:ln w="19050" cap="rnd">
              <a:solidFill>
                <a:schemeClr val="accent3"/>
              </a:solidFill>
              <a:round/>
            </a:ln>
            <a:effectLst/>
          </c:spPr>
          <c:marker>
            <c:symbol val="circle"/>
            <c:size val="5"/>
            <c:spPr>
              <a:solidFill>
                <a:schemeClr val="accent3"/>
              </a:solidFill>
              <a:ln w="9525">
                <a:solidFill>
                  <a:schemeClr val="accent3"/>
                </a:solidFill>
              </a:ln>
              <a:effectLst/>
            </c:spPr>
          </c:marker>
          <c:xVal>
            <c:numRef>
              <c:f>calculations!$AK$41:$AK$53</c:f>
              <c:numCache>
                <c:formatCode>General</c:formatCode>
                <c:ptCount val="13"/>
                <c:pt idx="0">
                  <c:v>40</c:v>
                </c:pt>
                <c:pt idx="1">
                  <c:v>45</c:v>
                </c:pt>
                <c:pt idx="2">
                  <c:v>50</c:v>
                </c:pt>
                <c:pt idx="3">
                  <c:v>55</c:v>
                </c:pt>
                <c:pt idx="4">
                  <c:v>60</c:v>
                </c:pt>
                <c:pt idx="5">
                  <c:v>65</c:v>
                </c:pt>
                <c:pt idx="6">
                  <c:v>70</c:v>
                </c:pt>
                <c:pt idx="7">
                  <c:v>75</c:v>
                </c:pt>
                <c:pt idx="8">
                  <c:v>80</c:v>
                </c:pt>
                <c:pt idx="9">
                  <c:v>85</c:v>
                </c:pt>
                <c:pt idx="10">
                  <c:v>90</c:v>
                </c:pt>
                <c:pt idx="11">
                  <c:v>95</c:v>
                </c:pt>
                <c:pt idx="12">
                  <c:v>100</c:v>
                </c:pt>
              </c:numCache>
            </c:numRef>
          </c:xVal>
          <c:yVal>
            <c:numRef>
              <c:f>calculations!$AN$41:$AN$53</c:f>
              <c:numCache>
                <c:formatCode>General</c:formatCode>
                <c:ptCount val="13"/>
                <c:pt idx="0">
                  <c:v>7.0387974419160777</c:v>
                </c:pt>
                <c:pt idx="1">
                  <c:v>7.4820769105949623</c:v>
                </c:pt>
                <c:pt idx="2">
                  <c:v>7.8010108041183432</c:v>
                </c:pt>
                <c:pt idx="3">
                  <c:v>8</c:v>
                </c:pt>
                <c:pt idx="4">
                  <c:v>8.0882727062831066</c:v>
                </c:pt>
                <c:pt idx="5">
                  <c:v>8.0786282223675183</c:v>
                </c:pt>
                <c:pt idx="6">
                  <c:v>7.9859712087738881</c:v>
                </c:pt>
                <c:pt idx="7">
                  <c:v>7.8259091098646767</c:v>
                </c:pt>
                <c:pt idx="8">
                  <c:v>7.613599844287827</c:v>
                </c:pt>
                <c:pt idx="9">
                  <c:v>7.362935297420881</c:v>
                </c:pt>
                <c:pt idx="10">
                  <c:v>7.0860612996618917</c:v>
                </c:pt>
                <c:pt idx="11">
                  <c:v>6.7931814669448141</c:v>
                </c:pt>
                <c:pt idx="12">
                  <c:v>6.4925700005495592</c:v>
                </c:pt>
              </c:numCache>
            </c:numRef>
          </c:yVal>
          <c:smooth val="1"/>
        </c:ser>
        <c:ser>
          <c:idx val="3"/>
          <c:order val="2"/>
          <c:tx>
            <c:strRef>
              <c:f>calculations!$AO$37</c:f>
              <c:strCache>
                <c:ptCount val="1"/>
                <c:pt idx="0">
                  <c:v>Truck, Class 8</c:v>
                </c:pt>
              </c:strCache>
            </c:strRef>
          </c:tx>
          <c:spPr>
            <a:ln w="19050" cap="rnd">
              <a:solidFill>
                <a:schemeClr val="accent4"/>
              </a:solidFill>
              <a:round/>
            </a:ln>
            <a:effectLst/>
          </c:spPr>
          <c:marker>
            <c:symbol val="circle"/>
            <c:size val="5"/>
            <c:spPr>
              <a:solidFill>
                <a:schemeClr val="accent4"/>
              </a:solidFill>
              <a:ln w="9525">
                <a:solidFill>
                  <a:schemeClr val="accent4"/>
                </a:solidFill>
              </a:ln>
              <a:effectLst/>
            </c:spPr>
          </c:marker>
          <c:xVal>
            <c:numRef>
              <c:f>calculations!$AK$41:$AK$53</c:f>
              <c:numCache>
                <c:formatCode>General</c:formatCode>
                <c:ptCount val="13"/>
                <c:pt idx="0">
                  <c:v>40</c:v>
                </c:pt>
                <c:pt idx="1">
                  <c:v>45</c:v>
                </c:pt>
                <c:pt idx="2">
                  <c:v>50</c:v>
                </c:pt>
                <c:pt idx="3">
                  <c:v>55</c:v>
                </c:pt>
                <c:pt idx="4">
                  <c:v>60</c:v>
                </c:pt>
                <c:pt idx="5">
                  <c:v>65</c:v>
                </c:pt>
                <c:pt idx="6">
                  <c:v>70</c:v>
                </c:pt>
                <c:pt idx="7">
                  <c:v>75</c:v>
                </c:pt>
                <c:pt idx="8">
                  <c:v>80</c:v>
                </c:pt>
                <c:pt idx="9">
                  <c:v>85</c:v>
                </c:pt>
                <c:pt idx="10">
                  <c:v>90</c:v>
                </c:pt>
                <c:pt idx="11">
                  <c:v>95</c:v>
                </c:pt>
                <c:pt idx="12">
                  <c:v>100</c:v>
                </c:pt>
              </c:numCache>
            </c:numRef>
          </c:xVal>
          <c:yVal>
            <c:numRef>
              <c:f>calculations!$AO$41:$AO$53</c:f>
              <c:numCache>
                <c:formatCode>General</c:formatCode>
                <c:ptCount val="13"/>
                <c:pt idx="0">
                  <c:v>7.0387974419160777</c:v>
                </c:pt>
                <c:pt idx="1">
                  <c:v>7.4820769105949623</c:v>
                </c:pt>
                <c:pt idx="2">
                  <c:v>7.8010108041183432</c:v>
                </c:pt>
                <c:pt idx="3">
                  <c:v>8</c:v>
                </c:pt>
                <c:pt idx="4">
                  <c:v>8.0882727062831066</c:v>
                </c:pt>
                <c:pt idx="5">
                  <c:v>8.0786282223675183</c:v>
                </c:pt>
                <c:pt idx="6">
                  <c:v>7.9859712087738881</c:v>
                </c:pt>
                <c:pt idx="7">
                  <c:v>7.8259091098646767</c:v>
                </c:pt>
                <c:pt idx="8">
                  <c:v>7.613599844287827</c:v>
                </c:pt>
                <c:pt idx="9">
                  <c:v>7.362935297420881</c:v>
                </c:pt>
                <c:pt idx="10">
                  <c:v>7.0860612996618917</c:v>
                </c:pt>
                <c:pt idx="11">
                  <c:v>6.7931814669448141</c:v>
                </c:pt>
                <c:pt idx="12">
                  <c:v>6.4925700005495592</c:v>
                </c:pt>
              </c:numCache>
            </c:numRef>
          </c:yVal>
          <c:smooth val="1"/>
        </c:ser>
        <c:dLbls>
          <c:showLegendKey val="0"/>
          <c:showVal val="0"/>
          <c:showCatName val="0"/>
          <c:showSerName val="0"/>
          <c:showPercent val="0"/>
          <c:showBubbleSize val="0"/>
        </c:dLbls>
        <c:axId val="308394944"/>
        <c:axId val="308391808"/>
      </c:scatterChart>
      <c:valAx>
        <c:axId val="308394944"/>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Speed (mph)</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8391808"/>
        <c:crosses val="autoZero"/>
        <c:crossBetween val="midCat"/>
      </c:valAx>
      <c:valAx>
        <c:axId val="3083918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mileage (mpg)</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8394944"/>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42</xdr:col>
      <xdr:colOff>360680</xdr:colOff>
      <xdr:row>35</xdr:row>
      <xdr:rowOff>152400</xdr:rowOff>
    </xdr:from>
    <xdr:to>
      <xdr:col>51</xdr:col>
      <xdr:colOff>426720</xdr:colOff>
      <xdr:row>56</xdr:row>
      <xdr:rowOff>60960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aulchalmer@earthlink.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fueleconomy.gov/feg/fe_test_schedules.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Q78"/>
  <sheetViews>
    <sheetView tabSelected="1" zoomScale="75" zoomScaleNormal="75" workbookViewId="0"/>
  </sheetViews>
  <sheetFormatPr defaultRowHeight="14.4" x14ac:dyDescent="0.3"/>
  <cols>
    <col min="1" max="1" width="2.109375" customWidth="1"/>
    <col min="2" max="2" width="11.88671875" customWidth="1"/>
    <col min="3" max="3" width="27.88671875" customWidth="1"/>
    <col min="4" max="4" width="8.109375" bestFit="1" customWidth="1"/>
    <col min="5" max="5" width="9" bestFit="1" customWidth="1"/>
    <col min="6" max="6" width="9.77734375" customWidth="1"/>
    <col min="8" max="8" width="9.88671875" customWidth="1"/>
    <col min="9" max="9" width="12.21875" bestFit="1" customWidth="1"/>
    <col min="10" max="11" width="10.6640625" bestFit="1" customWidth="1"/>
    <col min="12" max="12" width="12.44140625" bestFit="1" customWidth="1"/>
    <col min="13" max="13" width="4.109375" customWidth="1"/>
    <col min="14" max="14" width="20.33203125" hidden="1" customWidth="1"/>
    <col min="15" max="15" width="6.21875" hidden="1" customWidth="1"/>
    <col min="16" max="16" width="7.6640625" hidden="1" customWidth="1"/>
    <col min="17" max="20" width="8.88671875" hidden="1" customWidth="1"/>
    <col min="21" max="22" width="13.33203125" hidden="1" customWidth="1"/>
    <col min="23" max="27" width="8.88671875" hidden="1" customWidth="1"/>
    <col min="28" max="28" width="11.21875" hidden="1" customWidth="1"/>
    <col min="29" max="29" width="11.88671875" hidden="1" customWidth="1"/>
    <col min="30" max="30" width="8.88671875" hidden="1" customWidth="1"/>
    <col min="31" max="31" width="8.88671875" customWidth="1"/>
    <col min="35" max="35" width="20.77734375" customWidth="1"/>
    <col min="39" max="41" width="18.21875" bestFit="1" customWidth="1"/>
  </cols>
  <sheetData>
    <row r="2" spans="2:32" ht="23.4" x14ac:dyDescent="0.45">
      <c r="B2" s="9" t="s">
        <v>34</v>
      </c>
    </row>
    <row r="3" spans="2:32" ht="15" thickBot="1" x14ac:dyDescent="0.35"/>
    <row r="4" spans="2:32" x14ac:dyDescent="0.3">
      <c r="C4" s="112" t="s">
        <v>236</v>
      </c>
      <c r="D4" s="76"/>
      <c r="E4" s="76"/>
      <c r="F4" s="76"/>
      <c r="G4" s="82"/>
      <c r="H4" s="5"/>
      <c r="I4" s="5"/>
      <c r="AE4" t="s">
        <v>274</v>
      </c>
    </row>
    <row r="5" spans="2:32" x14ac:dyDescent="0.3">
      <c r="C5" s="16" t="s">
        <v>226</v>
      </c>
      <c r="D5" s="5"/>
      <c r="E5" s="5"/>
      <c r="F5" s="5"/>
      <c r="G5" s="17"/>
      <c r="H5" s="5"/>
      <c r="I5" s="5"/>
      <c r="AE5" t="s">
        <v>270</v>
      </c>
    </row>
    <row r="6" spans="2:32" x14ac:dyDescent="0.3">
      <c r="C6" s="16" t="s">
        <v>234</v>
      </c>
      <c r="D6" s="5"/>
      <c r="E6" s="5"/>
      <c r="F6" s="5"/>
      <c r="G6" s="17"/>
      <c r="H6" s="5"/>
      <c r="I6" s="5"/>
      <c r="AF6" t="s">
        <v>271</v>
      </c>
    </row>
    <row r="7" spans="2:32" x14ac:dyDescent="0.3">
      <c r="C7" s="16"/>
      <c r="D7" s="5" t="s">
        <v>227</v>
      </c>
      <c r="E7" s="5"/>
      <c r="F7" s="5"/>
      <c r="G7" s="17"/>
      <c r="H7" s="5"/>
      <c r="I7" s="5"/>
      <c r="AF7" t="s">
        <v>272</v>
      </c>
    </row>
    <row r="8" spans="2:32" x14ac:dyDescent="0.3">
      <c r="C8" s="16"/>
      <c r="D8" s="111" t="s">
        <v>228</v>
      </c>
      <c r="E8" s="5"/>
      <c r="F8" s="5"/>
      <c r="G8" s="17"/>
      <c r="H8" s="5"/>
      <c r="I8" s="5"/>
      <c r="AF8" t="s">
        <v>273</v>
      </c>
    </row>
    <row r="9" spans="2:32" ht="15" thickBot="1" x14ac:dyDescent="0.35">
      <c r="C9" s="18"/>
      <c r="D9" s="19" t="s">
        <v>229</v>
      </c>
      <c r="E9" s="19"/>
      <c r="F9" s="19"/>
      <c r="G9" s="20"/>
      <c r="H9" s="5"/>
      <c r="I9" s="5"/>
    </row>
    <row r="11" spans="2:32" x14ac:dyDescent="0.3">
      <c r="B11" t="s">
        <v>233</v>
      </c>
    </row>
    <row r="13" spans="2:32" x14ac:dyDescent="0.3">
      <c r="B13" t="s">
        <v>32</v>
      </c>
    </row>
    <row r="14" spans="2:32" x14ac:dyDescent="0.3">
      <c r="C14" t="s">
        <v>33</v>
      </c>
    </row>
    <row r="15" spans="2:32" x14ac:dyDescent="0.3">
      <c r="C15" t="s">
        <v>309</v>
      </c>
    </row>
    <row r="16" spans="2:32" x14ac:dyDescent="0.3">
      <c r="C16" t="s">
        <v>276</v>
      </c>
    </row>
    <row r="17" spans="2:39" x14ac:dyDescent="0.3">
      <c r="B17" t="s">
        <v>275</v>
      </c>
    </row>
    <row r="19" spans="2:39" x14ac:dyDescent="0.3">
      <c r="B19" t="s">
        <v>70</v>
      </c>
    </row>
    <row r="20" spans="2:39" x14ac:dyDescent="0.3">
      <c r="B20" t="s">
        <v>44</v>
      </c>
    </row>
    <row r="21" spans="2:39" x14ac:dyDescent="0.3">
      <c r="B21" t="s">
        <v>64</v>
      </c>
    </row>
    <row r="23" spans="2:39" x14ac:dyDescent="0.3">
      <c r="B23" t="s">
        <v>63</v>
      </c>
    </row>
    <row r="24" spans="2:39" x14ac:dyDescent="0.3">
      <c r="B24" s="7" t="s">
        <v>235</v>
      </c>
    </row>
    <row r="25" spans="2:39" x14ac:dyDescent="0.3">
      <c r="B25" s="7" t="s">
        <v>91</v>
      </c>
    </row>
    <row r="26" spans="2:39" x14ac:dyDescent="0.3">
      <c r="B26" s="7" t="s">
        <v>308</v>
      </c>
    </row>
    <row r="27" spans="2:39" ht="15" thickBot="1" x14ac:dyDescent="0.35"/>
    <row r="28" spans="2:39" ht="18.600000000000001" thickBot="1" x14ac:dyDescent="0.4">
      <c r="B28" s="8" t="s">
        <v>25</v>
      </c>
      <c r="D28" s="160" t="s">
        <v>10</v>
      </c>
      <c r="E28" s="162"/>
      <c r="F28" s="162"/>
      <c r="G28" s="162"/>
      <c r="H28" s="161"/>
      <c r="I28" s="162" t="s">
        <v>40</v>
      </c>
      <c r="J28" s="161"/>
      <c r="N28" t="s">
        <v>29</v>
      </c>
      <c r="U28" s="10" t="s">
        <v>224</v>
      </c>
      <c r="V28" s="10" t="s">
        <v>225</v>
      </c>
      <c r="AB28" s="10" t="s">
        <v>224</v>
      </c>
      <c r="AC28" s="10" t="s">
        <v>225</v>
      </c>
    </row>
    <row r="29" spans="2:39" x14ac:dyDescent="0.3">
      <c r="C29" s="48"/>
      <c r="D29" s="41"/>
      <c r="E29" s="34" t="s">
        <v>71</v>
      </c>
      <c r="F29" s="34" t="s">
        <v>37</v>
      </c>
      <c r="G29" s="34"/>
      <c r="H29" s="35"/>
      <c r="I29" s="41"/>
      <c r="J29" s="34"/>
      <c r="K29" s="22" t="s">
        <v>60</v>
      </c>
      <c r="L29" s="23" t="s">
        <v>89</v>
      </c>
      <c r="N29" s="36" t="s">
        <v>75</v>
      </c>
      <c r="O29" s="36" t="str">
        <f>VLOOKUP(C33,VehicleData,7,FALSE)</f>
        <v>diesel</v>
      </c>
      <c r="T29" s="2" t="s">
        <v>96</v>
      </c>
      <c r="U29" s="100">
        <f>(1 - G33) * F33  * VLOOKUP(F32,ConvertPower,2,FALSE) * 1000 * 1 / (K33 / VLOOKUP(K32,ConvertSpeed,2,FALSE) * KPHtoMPS)</f>
        <v>6410.0814859616958</v>
      </c>
      <c r="V29" s="100">
        <f>(1 - IF(G34="",G33,G34)) * F34  * VLOOKUP(F32,ConvertPower,2,FALSE) * 1000 * 1 / (K34 / VLOOKUP(K32,ConvertSpeed,2,FALSE) * KPHtoMPS)</f>
        <v>5878.3193729025024</v>
      </c>
      <c r="W29" t="s">
        <v>95</v>
      </c>
      <c r="AA29" s="2" t="s">
        <v>245</v>
      </c>
      <c r="AB29" s="100">
        <f>(1 - G33) * F33  * VLOOKUP(F32,ConvertPower,2,FALSE) * 1000 * 1 / (D33 / VLOOKUP(D32,ConvertSpeed,2,FALSE) * KPHtoMPS)</f>
        <v>7218.8288457520084</v>
      </c>
      <c r="AC29" s="100">
        <f>(1 - IF(G34="",G33,G34)) * F34  * VLOOKUP(F32,ConvertPower,2,FALSE) * 1000 * 1 / (IF(D34="",D33,D34) / VLOOKUP(D32,ConvertSpeed,2,FALSE) * KPHtoMPS)</f>
        <v>7218.8288457520066</v>
      </c>
      <c r="AD29" t="s">
        <v>95</v>
      </c>
      <c r="AG29" t="s">
        <v>279</v>
      </c>
    </row>
    <row r="30" spans="2:39" x14ac:dyDescent="0.3">
      <c r="C30" s="49" t="s">
        <v>42</v>
      </c>
      <c r="D30" s="41" t="s">
        <v>35</v>
      </c>
      <c r="E30" s="34" t="s">
        <v>72</v>
      </c>
      <c r="F30" s="34" t="s">
        <v>11</v>
      </c>
      <c r="G30" s="34" t="s">
        <v>59</v>
      </c>
      <c r="H30" s="35" t="s">
        <v>59</v>
      </c>
      <c r="I30" s="41" t="s">
        <v>40</v>
      </c>
      <c r="J30" s="34" t="s">
        <v>41</v>
      </c>
      <c r="K30" s="33" t="s">
        <v>61</v>
      </c>
      <c r="L30" s="35" t="s">
        <v>88</v>
      </c>
      <c r="N30" s="36" t="s">
        <v>77</v>
      </c>
      <c r="O30">
        <f>VLOOKUP(O29,FuelEnergyDensity,2,FALSE)</f>
        <v>45.4</v>
      </c>
      <c r="P30" t="s">
        <v>2</v>
      </c>
      <c r="T30" s="2" t="s">
        <v>97</v>
      </c>
      <c r="U30" s="100">
        <f xml:space="preserve">  0.5 * O33 * I33 * J33 * VLOOKUP(J32,ConvertArea,2,FALSE) * (K33 / VLOOKUP(K32,ConvertSpeed,2,FALSE) * KPHtoMPS)^2</f>
        <v>3205.0407429808461</v>
      </c>
      <c r="V30" s="100">
        <f xml:space="preserve">  0.5 * O33 * IF(I34="",I33,I34) * IF(J34="",J33,J34) * VLOOKUP(J32,ConvertArea,2,FALSE) * (K34 / VLOOKUP(K32,ConvertSpeed,2,FALSE) * KPHtoMPS)^2</f>
        <v>2939.1596864512521</v>
      </c>
      <c r="W30" t="s">
        <v>94</v>
      </c>
      <c r="AA30" s="2" t="s">
        <v>246</v>
      </c>
      <c r="AB30" s="100">
        <f xml:space="preserve">  0.5 * O33 * I33 * J33 * VLOOKUP(J32,ConvertArea,2,FALSE) * (IF(D34="",D33,D34) / VLOOKUP(D32,ConvertSpeed,2,FALSE) * KPHtoMPS)^2</f>
        <v>1948.9291341715741</v>
      </c>
      <c r="AC30" s="100">
        <f xml:space="preserve">  0.5 * O33 * IF(I34="",I33,I34) * IF(J34="",J33,J34) * VLOOKUP(J32,ConvertArea,2,FALSE) * (IF(D34="",D33,D34) / VLOOKUP(D32,ConvertSpeed,2,FALSE) * KPHtoMPS)^2</f>
        <v>1948.9291341715741</v>
      </c>
      <c r="AD30" t="s">
        <v>94</v>
      </c>
      <c r="AM30" s="124" t="s">
        <v>286</v>
      </c>
    </row>
    <row r="31" spans="2:39" x14ac:dyDescent="0.3">
      <c r="C31" s="50" t="s">
        <v>43</v>
      </c>
      <c r="D31" s="42" t="s">
        <v>0</v>
      </c>
      <c r="E31" s="25" t="s">
        <v>163</v>
      </c>
      <c r="F31" s="25" t="s">
        <v>164</v>
      </c>
      <c r="G31" s="25" t="s">
        <v>38</v>
      </c>
      <c r="H31" s="26" t="s">
        <v>58</v>
      </c>
      <c r="I31" s="42" t="s">
        <v>165</v>
      </c>
      <c r="J31" s="25" t="s">
        <v>166</v>
      </c>
      <c r="K31" s="24" t="s">
        <v>62</v>
      </c>
      <c r="L31" s="26" t="s">
        <v>36</v>
      </c>
      <c r="N31" t="s">
        <v>93</v>
      </c>
      <c r="O31">
        <f>VLOOKUP(O29,FuelEnergyDensity,3,FALSE)</f>
        <v>0.83199999999999996</v>
      </c>
      <c r="P31" t="s">
        <v>80</v>
      </c>
      <c r="T31" s="2" t="s">
        <v>98</v>
      </c>
      <c r="U31" s="39">
        <f xml:space="preserve"> $O32 / (AB31 + (U29 - AB29) + (U30 - AB30) )* 1000</f>
        <v>3.269450965653331</v>
      </c>
      <c r="V31" s="39">
        <f xml:space="preserve"> $O32 / (AC31 + (V29 - AC29) + (V30 - AC30) )* 1000</f>
        <v>3.5119155808970914</v>
      </c>
      <c r="W31" t="s">
        <v>248</v>
      </c>
      <c r="AA31" s="2" t="s">
        <v>247</v>
      </c>
      <c r="AB31" s="100">
        <f xml:space="preserve"> F33  * VLOOKUP(F32,ConvertPower,2,FALSE) * 1000 * 1 / (D33 / VLOOKUP(D32,ConvertSpeed,2,FALSE) * KPHtoMPS)</f>
        <v>11105.890531926167</v>
      </c>
      <c r="AC31" s="100">
        <f xml:space="preserve"> F34  * VLOOKUP(F32,ConvertPower,2,FALSE) * 1000 * 1 / (IF(D34="",D33,D34) / VLOOKUP(D32,ConvertSpeed,2,FALSE) * KPHtoMPS)</f>
        <v>11105.890531926165</v>
      </c>
      <c r="AD31" t="s">
        <v>95</v>
      </c>
      <c r="AH31" s="2" t="s">
        <v>278</v>
      </c>
      <c r="AI31" t="s">
        <v>282</v>
      </c>
    </row>
    <row r="32" spans="2:39" ht="15" thickBot="1" x14ac:dyDescent="0.35">
      <c r="C32" s="51"/>
      <c r="D32" s="46" t="s">
        <v>5</v>
      </c>
      <c r="E32" s="30" t="s">
        <v>52</v>
      </c>
      <c r="F32" s="30" t="s">
        <v>3</v>
      </c>
      <c r="G32" s="27" t="s">
        <v>39</v>
      </c>
      <c r="H32" s="32" t="s">
        <v>3</v>
      </c>
      <c r="I32" s="43"/>
      <c r="J32" s="30" t="s">
        <v>13</v>
      </c>
      <c r="K32" s="31" t="s">
        <v>5</v>
      </c>
      <c r="L32" s="32" t="s">
        <v>52</v>
      </c>
      <c r="N32" t="s">
        <v>92</v>
      </c>
      <c r="O32" s="39">
        <f>O30*O31</f>
        <v>37.772799999999997</v>
      </c>
      <c r="P32" t="s">
        <v>90</v>
      </c>
      <c r="V32" s="118">
        <f xml:space="preserve"> V31 * KPLtoMPG</f>
        <v>8.2605366822282704</v>
      </c>
      <c r="W32" t="s">
        <v>52</v>
      </c>
      <c r="AA32" s="2" t="s">
        <v>257</v>
      </c>
      <c r="AB32" s="119">
        <f xml:space="preserve"> $O32 / AB31 * 1000</f>
        <v>3.4011500375781942</v>
      </c>
      <c r="AC32" s="119">
        <f xml:space="preserve"> $O32 / AC31 * 1000</f>
        <v>3.4011500375781951</v>
      </c>
      <c r="AD32" t="s">
        <v>248</v>
      </c>
      <c r="AH32" s="123" t="s">
        <v>4</v>
      </c>
      <c r="AI32" t="s">
        <v>283</v>
      </c>
    </row>
    <row r="33" spans="2:43" x14ac:dyDescent="0.3">
      <c r="C33" s="52" t="s">
        <v>45</v>
      </c>
      <c r="D33" s="47">
        <f>IFERROR(VLOOKUP($C33,VehicleData,2,FALSE)*VLOOKUP(D32,ConvertSpeed,2,FALSE),"")</f>
        <v>55</v>
      </c>
      <c r="E33" s="37">
        <f>IFERROR(VLOOKUP($C33,VehicleData,3,FALSE) * VLOOKUP(E32,ConvertMileage,2,FALSE),"")</f>
        <v>8</v>
      </c>
      <c r="F33" s="96">
        <f>VLOOKUP($O$29,FuelEnergyDensity,2,FALSE) * 1000 * $O$31 * VLOOKUP($C33,VehicleData,2,FALSE) / (VLOOKUP($C33,VehicleData,3,FALSE) * 3600) / VLOOKUP(F32,ConvertPower,2,FALSE)</f>
        <v>366.18329494049186</v>
      </c>
      <c r="G33" s="28">
        <f>IFERROR(VLOOKUP($C33,VehicleData,4,FALSE),"")</f>
        <v>0.35</v>
      </c>
      <c r="H33" s="98">
        <f>G33*VLOOKUP($O$29,FuelEnergyDensity,2,FALSE) * 1000 * $O$31 * VLOOKUP($C33,VehicleData,2,FALSE) / (VLOOKUP($C33,VehicleData,3,FALSE) * 3600) / VLOOKUP(H32,ConvertPower,2,FALSE)</f>
        <v>128.16415322917217</v>
      </c>
      <c r="I33" s="44">
        <f>IFERROR(VLOOKUP($C33,VehicleData,5,FALSE),"")</f>
        <v>0.65</v>
      </c>
      <c r="J33" s="29">
        <f>IFERROR(VLOOKUP($C33,VehicleData,6,FALSE)/VLOOKUP(J32,ConvertArea,2,FALSE),"")</f>
        <v>113.02110803741537</v>
      </c>
      <c r="K33" s="55">
        <f xml:space="preserve"> (F33 * 1000 * VLOOKUP(F32,ConvertPower,2,FALSE)  * (1 - G33) / (I33 * VLOOKUP($C33,VehicleData,6,FALSE) * $O$33))^(1/3) * VLOOKUP(K32,ConvertSpeed,2,FALSE) / KPHtoMPS</f>
        <v>61.939241706346849</v>
      </c>
      <c r="L33" s="38">
        <f xml:space="preserve"> U31 * VLOOKUP(L32,ConvertMileage,2,FALSE)</f>
        <v>7.6902246111585475</v>
      </c>
      <c r="N33" s="36" t="s">
        <v>81</v>
      </c>
      <c r="O33">
        <v>1.2250000000000001</v>
      </c>
      <c r="P33" t="s">
        <v>82</v>
      </c>
      <c r="AB33" s="118">
        <f xml:space="preserve"> AB32 * KPLtoMPG</f>
        <v>8</v>
      </c>
      <c r="AC33" s="118">
        <f xml:space="preserve"> AC32 * KPLtoMPG</f>
        <v>8.0000000000000018</v>
      </c>
      <c r="AD33" t="s">
        <v>52</v>
      </c>
    </row>
    <row r="34" spans="2:43" ht="15" thickBot="1" x14ac:dyDescent="0.35">
      <c r="C34" s="72" t="s">
        <v>126</v>
      </c>
      <c r="D34" s="45">
        <v>48.3</v>
      </c>
      <c r="E34" s="21"/>
      <c r="F34" s="97">
        <f>VLOOKUP($O$29,FuelEnergyDensity,2,FALSE) * 1000 * $O$31 * IF(D34="",VLOOKUP($C33,VehicleData,2,FALSE),D34/VLOOKUP(D32,ConvertSpeed,2,FALSE)) / (IF(E34="",VLOOKUP($C33,VehicleData,3,FALSE),E34/VLOOKUP(E32,ConvertMileage,2,FALSE)) * 3600) / VLOOKUP(F32,ConvertPower,2,FALSE)</f>
        <v>321.57551173865011</v>
      </c>
      <c r="G34" s="53"/>
      <c r="H34" s="99">
        <f>IF(G34="",G33,G34)*VLOOKUP($O$29,FuelEnergyDensity,2,FALSE) * 1000 * $O$31 * IF(D34="",VLOOKUP($C33,VehicleData,2,FALSE),D34/VLOOKUP(D32,ConvertSpeed,2,FALSE)) / (IF(E34="",VLOOKUP($C33,VehicleData,3,FALSE),E34/VLOOKUP(E32,ConvertMileage,2,FALSE)) * 3600) / VLOOKUP(H32,ConvertPower,2,FALSE)</f>
        <v>112.55142910852754</v>
      </c>
      <c r="I34" s="45"/>
      <c r="J34" s="21"/>
      <c r="K34" s="54">
        <f xml:space="preserve"> (F34 * 1000 * VLOOKUP(F32,ConvertPower,2,FALSE) * (1 - IF(G34="",G33,G34))/ (IF(I34="",I33,I34) * IF(J34="",VLOOKUP($C33,VehicleData,6,FALSE),J34 * VLOOKUP(J32,ConvertArea,2,FALSE)) * $O$33))^(1/3) * VLOOKUP(K32,ConvertSpeed,2,FALSE) / KPHtoMPS</f>
        <v>59.314475980515077</v>
      </c>
      <c r="L34" s="56">
        <f xml:space="preserve"> V31 * VLOOKUP(L32,ConvertMileage,2,FALSE)</f>
        <v>8.2605366822282704</v>
      </c>
      <c r="AH34" s="2" t="s">
        <v>281</v>
      </c>
      <c r="AI34" s="5" t="s">
        <v>280</v>
      </c>
    </row>
    <row r="35" spans="2:43" ht="15" thickBot="1" x14ac:dyDescent="0.35">
      <c r="AH35" s="123" t="s">
        <v>4</v>
      </c>
      <c r="AI35" s="84" t="s">
        <v>284</v>
      </c>
    </row>
    <row r="36" spans="2:43" x14ac:dyDescent="0.3">
      <c r="C36" s="36" t="s">
        <v>167</v>
      </c>
      <c r="AK36" s="144" t="s">
        <v>291</v>
      </c>
      <c r="AL36" s="148">
        <v>40</v>
      </c>
      <c r="AM36" s="157" t="s">
        <v>289</v>
      </c>
      <c r="AN36" s="158"/>
      <c r="AO36" s="159"/>
    </row>
    <row r="37" spans="2:43" x14ac:dyDescent="0.3">
      <c r="C37" s="36" t="s">
        <v>168</v>
      </c>
      <c r="AH37" s="2"/>
      <c r="AI37" s="10"/>
      <c r="AK37" s="145" t="s">
        <v>290</v>
      </c>
      <c r="AL37" s="149">
        <v>100</v>
      </c>
      <c r="AM37" s="146" t="s">
        <v>45</v>
      </c>
      <c r="AN37" s="129" t="s">
        <v>45</v>
      </c>
      <c r="AO37" s="130" t="s">
        <v>45</v>
      </c>
    </row>
    <row r="38" spans="2:43" ht="15" thickBot="1" x14ac:dyDescent="0.35">
      <c r="C38" s="36" t="s">
        <v>169</v>
      </c>
      <c r="N38" s="36"/>
      <c r="AJ38" s="2" t="s">
        <v>292</v>
      </c>
      <c r="AK38" s="127"/>
      <c r="AL38" s="150" t="s">
        <v>287</v>
      </c>
      <c r="AM38" s="147">
        <f>VLOOKUP(VLOOKUP(AM$37,VehicleData,7,FALSE),FuelEnergyDensity,2,FALSE) * VLOOKUP(VLOOKUP(AM$37,VehicleData,7,FALSE),FuelEnergyDensity,3,FALSE)</f>
        <v>37.772799999999997</v>
      </c>
      <c r="AN38" s="128">
        <f>VLOOKUP(VLOOKUP(AN$37,VehicleData,7,FALSE),FuelEnergyDensity,2,FALSE) * VLOOKUP(VLOOKUP(AN$37,VehicleData,7,FALSE),FuelEnergyDensity,3,FALSE)</f>
        <v>37.772799999999997</v>
      </c>
      <c r="AO38" s="131">
        <f>VLOOKUP(VLOOKUP(AO$37,VehicleData,7,FALSE),FuelEnergyDensity,2,FALSE) * VLOOKUP(VLOOKUP(AO$37,VehicleData,7,FALSE),FuelEnergyDensity,3,FALSE)</f>
        <v>37.772799999999997</v>
      </c>
      <c r="AP38" s="10"/>
      <c r="AQ38" s="10"/>
    </row>
    <row r="39" spans="2:43" ht="15" thickBot="1" x14ac:dyDescent="0.35">
      <c r="N39" s="36"/>
      <c r="AH39" s="2"/>
      <c r="AJ39" s="2" t="s">
        <v>293</v>
      </c>
      <c r="AK39" s="24" t="s">
        <v>285</v>
      </c>
      <c r="AL39" s="25" t="s">
        <v>285</v>
      </c>
      <c r="AM39" s="128">
        <f>(1-VLOOKUP(AM$37,VehicleData,4,FALSE)) * AM$38 / VLOOKUP(AM$37,VehicleData,3,FALSE) * VLOOKUP(AM$37,VehicleData,2,FALSE) / 3600 * 1000000</f>
        <v>177490.84350768101</v>
      </c>
      <c r="AN39" s="128">
        <f>(1-VLOOKUP(AN$37,VehicleData,4,FALSE)) * AN$38 / VLOOKUP(AN$37,VehicleData,3,FALSE) * VLOOKUP(AN$37,VehicleData,2,FALSE) / 3600 * 1000000</f>
        <v>177490.84350768101</v>
      </c>
      <c r="AO39" s="131">
        <f>(1-VLOOKUP(AO$37,VehicleData,4,FALSE)) * AO$38 / VLOOKUP(AO$37,VehicleData,3,FALSE) * VLOOKUP(AO$37,VehicleData,2,FALSE) / 3600 * 1000000</f>
        <v>177490.84350768101</v>
      </c>
    </row>
    <row r="40" spans="2:43" ht="18.600000000000001" thickBot="1" x14ac:dyDescent="0.4">
      <c r="B40" s="8" t="s">
        <v>26</v>
      </c>
      <c r="D40" s="160" t="s">
        <v>10</v>
      </c>
      <c r="E40" s="162"/>
      <c r="F40" s="162"/>
      <c r="G40" s="162"/>
      <c r="H40" s="161"/>
      <c r="I40" s="162" t="s">
        <v>40</v>
      </c>
      <c r="J40" s="161"/>
      <c r="N40" t="s">
        <v>29</v>
      </c>
      <c r="U40" s="10" t="s">
        <v>224</v>
      </c>
      <c r="V40" s="10" t="s">
        <v>225</v>
      </c>
      <c r="AB40" s="10" t="s">
        <v>224</v>
      </c>
      <c r="AC40" s="10" t="s">
        <v>225</v>
      </c>
      <c r="AH40" s="2"/>
      <c r="AJ40" s="2" t="s">
        <v>294</v>
      </c>
      <c r="AK40" s="133" t="s">
        <v>287</v>
      </c>
      <c r="AL40" s="27" t="s">
        <v>288</v>
      </c>
      <c r="AM40" s="132">
        <f>VLOOKUP(AM$37,VehicleData,5,FALSE) * VLOOKUP(AM$37,VehicleData,6,FALSE) * 1.225</f>
        <v>8.3606250000000006</v>
      </c>
      <c r="AN40" s="132">
        <f>VLOOKUP(AN$37,VehicleData,5,FALSE) * VLOOKUP(AN$37,VehicleData,6,FALSE) * 1.225</f>
        <v>8.3606250000000006</v>
      </c>
      <c r="AO40" s="134">
        <f>VLOOKUP(AO$37,VehicleData,5,FALSE) * VLOOKUP(AO$37,VehicleData,6,FALSE) * 1.225</f>
        <v>8.3606250000000006</v>
      </c>
    </row>
    <row r="41" spans="2:43" x14ac:dyDescent="0.3">
      <c r="C41" s="48"/>
      <c r="D41" s="41"/>
      <c r="E41" s="34" t="s">
        <v>71</v>
      </c>
      <c r="F41" s="34" t="s">
        <v>37</v>
      </c>
      <c r="G41" s="34"/>
      <c r="H41" s="35"/>
      <c r="I41" s="41"/>
      <c r="J41" s="34"/>
      <c r="K41" s="22" t="s">
        <v>60</v>
      </c>
      <c r="L41" s="23" t="s">
        <v>89</v>
      </c>
      <c r="N41" s="36" t="s">
        <v>75</v>
      </c>
      <c r="O41" s="36" t="str">
        <f>VLOOKUP(C45,VehicleData,7,FALSE)</f>
        <v>diesel</v>
      </c>
      <c r="T41" s="2" t="s">
        <v>96</v>
      </c>
      <c r="U41" s="100">
        <f>(1 - G45) * F45  * VLOOKUP(F44,ConvertPower,2,FALSE) * 1000 * 1 / (K45 / VLOOKUP(K44,ConvertSpeed,2,FALSE) * KPHtoMPS)</f>
        <v>160342.95289745089</v>
      </c>
      <c r="V41" s="100">
        <f>(1 - IF(G46="",G45,G46)) * F46  * VLOOKUP(F44,ConvertPower,2,FALSE) * 1000 * 1 / (K46 / VLOOKUP(K44,ConvertSpeed,2,FALSE) * KPHtoMPS)</f>
        <v>160342.95289745089</v>
      </c>
      <c r="W41" t="s">
        <v>95</v>
      </c>
      <c r="AA41" s="2" t="s">
        <v>245</v>
      </c>
      <c r="AB41" s="100">
        <f>(1 - G45) * F45  * VLOOKUP(F44,ConvertPower,2,FALSE) * 1000 * 1 / (D45 / VLOOKUP(D44,ConvertSpeed,2,FALSE) * KPHtoMPS)</f>
        <v>153963.18162219884</v>
      </c>
      <c r="AC41" s="100">
        <f>(1 - IF(G46="",G45,G46)) * F46  * VLOOKUP(F44,ConvertPower,2,FALSE) * 1000 * 1 / (IF(D46="",D45,D46) / VLOOKUP(D44,ConvertSpeed,2,FALSE) * KPHtoMPS)</f>
        <v>153963.18162219884</v>
      </c>
      <c r="AD41" t="s">
        <v>95</v>
      </c>
      <c r="AH41" s="2"/>
      <c r="AI41" s="36"/>
      <c r="AK41" s="151">
        <f xml:space="preserve"> $AL$36 + (ROW() - 41) * ($AL$37 - $AL$36)/12</f>
        <v>40</v>
      </c>
      <c r="AL41" s="135">
        <f t="shared" ref="AL41:AL53" si="0">AK41/KPHtoMPH</f>
        <v>64.373779915702528</v>
      </c>
      <c r="AM41" s="136">
        <f t="shared" ref="AM41:AO53" si="1">AM$38 * 1000/(AM$38 * 1000/VLOOKUP(AM$37,VehicleData,3,FALSE) + AM$39 * (1/$AL41 - 1/VLOOKUP(AM$37,VehicleData,2,FALSE)) / KPHtoMPS +  (1/2)*AM$40*($AL41^2 - VLOOKUP(AM$37,VehicleData,2,FALSE)^2) * KPHtoMPS^2) * KPLtoMPG</f>
        <v>7.0387974419160777</v>
      </c>
      <c r="AN41" s="136">
        <f t="shared" si="1"/>
        <v>7.0387974419160777</v>
      </c>
      <c r="AO41" s="137">
        <f t="shared" si="1"/>
        <v>7.0387974419160777</v>
      </c>
    </row>
    <row r="42" spans="2:43" x14ac:dyDescent="0.3">
      <c r="C42" s="49" t="s">
        <v>135</v>
      </c>
      <c r="D42" s="41" t="s">
        <v>35</v>
      </c>
      <c r="E42" s="34" t="s">
        <v>72</v>
      </c>
      <c r="F42" s="34" t="s">
        <v>11</v>
      </c>
      <c r="G42" s="34" t="s">
        <v>59</v>
      </c>
      <c r="H42" s="35" t="s">
        <v>59</v>
      </c>
      <c r="I42" s="41" t="s">
        <v>40</v>
      </c>
      <c r="J42" s="34" t="s">
        <v>41</v>
      </c>
      <c r="K42" s="33" t="s">
        <v>61</v>
      </c>
      <c r="L42" s="35" t="s">
        <v>88</v>
      </c>
      <c r="N42" s="36" t="s">
        <v>77</v>
      </c>
      <c r="O42">
        <f>VLOOKUP(O41,FuelEnergyDensity,2,FALSE)</f>
        <v>45.4</v>
      </c>
      <c r="P42" t="s">
        <v>2</v>
      </c>
      <c r="T42" s="2" t="s">
        <v>97</v>
      </c>
      <c r="U42" s="100">
        <f xml:space="preserve">  0.5 * O45 * (I45 * J45 + I47 * J47 * $C$50) * VLOOKUP(J44,ConvertArea,2,FALSE) * (K45 / VLOOKUP(K44,ConvertSpeed,2,FALSE) * KPHtoMPS)^2</f>
        <v>80171.4764487254</v>
      </c>
      <c r="V42" s="100">
        <f xml:space="preserve">  0.5 * O45 * (IF(I46="",I45,I46) * IF(J46="",J45,J46) + IF(I48="",I47,I48) * IF(J48="",J47,J48) * $C$50)* VLOOKUP(J44,ConvertArea,2,FALSE) * (K46 / VLOOKUP(K44,ConvertSpeed,2,FALSE) * KPHtoMPS)^2</f>
        <v>80171.4764487254</v>
      </c>
      <c r="W42" t="s">
        <v>94</v>
      </c>
      <c r="AA42" s="2" t="s">
        <v>246</v>
      </c>
      <c r="AB42" s="100">
        <f xml:space="preserve">  0.5 * O45 * (I45 * J45 + I47 * J47 * $C$50) * VLOOKUP(J44,ConvertArea,2,FALSE) * (D45 / VLOOKUP(D44,ConvertSpeed,2,FALSE) * KPHtoMPS)^2</f>
        <v>86953.262641678215</v>
      </c>
      <c r="AC42" s="100">
        <f xml:space="preserve">  0.5 * O45 * (IF(I46="",I45,I46) * IF(J46="",J45,J46) + IF(I48="",I47,I48) * IF(J48="",J47,J48) * $C$50) * VLOOKUP(J44,ConvertArea,2,FALSE) * (IF(D46="",D45,D46) / VLOOKUP(D44,ConvertSpeed,2,FALSE) * KPHtoMPS)^2</f>
        <v>86953.262641678215</v>
      </c>
      <c r="AD42" t="s">
        <v>94</v>
      </c>
      <c r="AI42" s="126"/>
      <c r="AK42" s="152">
        <f t="shared" ref="AK42:AK53" si="2" xml:space="preserve"> $AL$36 + (ROW() - 41) * ($AL$37 - $AL$36)/12</f>
        <v>45</v>
      </c>
      <c r="AL42" s="138">
        <f t="shared" si="0"/>
        <v>72.420502405165351</v>
      </c>
      <c r="AM42" s="139">
        <f t="shared" si="1"/>
        <v>7.4820769105949623</v>
      </c>
      <c r="AN42" s="139">
        <f t="shared" si="1"/>
        <v>7.4820769105949623</v>
      </c>
      <c r="AO42" s="140">
        <f t="shared" si="1"/>
        <v>7.4820769105949623</v>
      </c>
    </row>
    <row r="43" spans="2:43" x14ac:dyDescent="0.3">
      <c r="B43" s="2"/>
      <c r="C43" s="50" t="s">
        <v>43</v>
      </c>
      <c r="D43" s="42" t="s">
        <v>0</v>
      </c>
      <c r="E43" s="25" t="s">
        <v>0</v>
      </c>
      <c r="F43" s="25" t="s">
        <v>170</v>
      </c>
      <c r="G43" s="25" t="s">
        <v>38</v>
      </c>
      <c r="H43" s="26" t="s">
        <v>58</v>
      </c>
      <c r="I43" s="42" t="s">
        <v>172</v>
      </c>
      <c r="J43" s="25" t="s">
        <v>173</v>
      </c>
      <c r="K43" s="24" t="s">
        <v>62</v>
      </c>
      <c r="L43" s="26" t="s">
        <v>36</v>
      </c>
      <c r="N43" t="s">
        <v>93</v>
      </c>
      <c r="O43">
        <f>VLOOKUP(O41,FuelEnergyDensity,3,FALSE)</f>
        <v>0.83199999999999996</v>
      </c>
      <c r="P43" t="s">
        <v>80</v>
      </c>
      <c r="T43" s="2" t="s">
        <v>98</v>
      </c>
      <c r="U43" s="113">
        <f xml:space="preserve"> $O44 / (AB43 + (U41 - AB41) + (U42 - AB42) )* 1000</f>
        <v>0.15235532419492909</v>
      </c>
      <c r="V43" s="113">
        <f xml:space="preserve"> $O44 / (AC43 + (V41 - AC41) + (V42 - AC42) )* 1000</f>
        <v>0.15235532419492909</v>
      </c>
      <c r="W43" t="s">
        <v>248</v>
      </c>
      <c r="AA43" s="2" t="s">
        <v>247</v>
      </c>
      <c r="AB43" s="100">
        <f xml:space="preserve"> F45  * VLOOKUP(F44,ConvertPower,2,FALSE) * 1000 * 1 / (D45 / VLOOKUP(D44,ConvertSpeed,2,FALSE) * KPHtoMPS)</f>
        <v>248327.71229386906</v>
      </c>
      <c r="AC43" s="100">
        <f xml:space="preserve"> F46  * VLOOKUP(F44,ConvertPower,2,FALSE) * 1000 * 1 / (IF(D46="",D45,D46) / VLOOKUP(D44,ConvertSpeed,2,FALSE) * KPHtoMPS)</f>
        <v>248327.71229386906</v>
      </c>
      <c r="AD43" t="s">
        <v>95</v>
      </c>
      <c r="AI43" s="36"/>
      <c r="AK43" s="152">
        <f t="shared" si="2"/>
        <v>50</v>
      </c>
      <c r="AL43" s="138">
        <f t="shared" si="0"/>
        <v>80.467224894628174</v>
      </c>
      <c r="AM43" s="139">
        <f t="shared" si="1"/>
        <v>7.8010108041183432</v>
      </c>
      <c r="AN43" s="139">
        <f t="shared" si="1"/>
        <v>7.8010108041183432</v>
      </c>
      <c r="AO43" s="140">
        <f t="shared" si="1"/>
        <v>7.8010108041183432</v>
      </c>
    </row>
    <row r="44" spans="2:43" ht="15" thickBot="1" x14ac:dyDescent="0.35">
      <c r="B44" s="2"/>
      <c r="C44" s="51"/>
      <c r="D44" s="46" t="s">
        <v>5</v>
      </c>
      <c r="E44" s="30" t="s">
        <v>52</v>
      </c>
      <c r="F44" s="30" t="s">
        <v>3</v>
      </c>
      <c r="G44" s="27" t="s">
        <v>39</v>
      </c>
      <c r="H44" s="32" t="s">
        <v>3</v>
      </c>
      <c r="I44" s="43"/>
      <c r="J44" s="30" t="s">
        <v>53</v>
      </c>
      <c r="K44" s="31" t="s">
        <v>5</v>
      </c>
      <c r="L44" s="32" t="s">
        <v>52</v>
      </c>
      <c r="N44" t="s">
        <v>92</v>
      </c>
      <c r="O44" s="39">
        <f>O42*O43</f>
        <v>37.772799999999997</v>
      </c>
      <c r="P44" t="s">
        <v>90</v>
      </c>
      <c r="V44" s="119">
        <f xml:space="preserve"> V43 * KPLtoMPG</f>
        <v>0.35836190114897598</v>
      </c>
      <c r="W44" t="s">
        <v>52</v>
      </c>
      <c r="AA44" s="2" t="s">
        <v>257</v>
      </c>
      <c r="AB44" s="119">
        <f xml:space="preserve"> $O44 / AB43 * 1000</f>
        <v>0.15210867788811247</v>
      </c>
      <c r="AC44" s="119">
        <f xml:space="preserve"> $O44 / AC43 * 1000</f>
        <v>0.15210867788811247</v>
      </c>
      <c r="AD44" t="s">
        <v>248</v>
      </c>
      <c r="AH44" s="2"/>
      <c r="AK44" s="152">
        <f t="shared" si="2"/>
        <v>55</v>
      </c>
      <c r="AL44" s="138">
        <f t="shared" si="0"/>
        <v>88.513947384090983</v>
      </c>
      <c r="AM44" s="139">
        <f t="shared" si="1"/>
        <v>8</v>
      </c>
      <c r="AN44" s="139">
        <f t="shared" si="1"/>
        <v>8</v>
      </c>
      <c r="AO44" s="140">
        <f t="shared" si="1"/>
        <v>8</v>
      </c>
    </row>
    <row r="45" spans="2:43" x14ac:dyDescent="0.3">
      <c r="B45" s="2"/>
      <c r="C45" s="52" t="s">
        <v>114</v>
      </c>
      <c r="D45" s="47">
        <f>IFERROR(VLOOKUP($C45,VehicleData,2,FALSE)*VLOOKUP(D44,ConvertSpeed,2,FALSE),"")</f>
        <v>45</v>
      </c>
      <c r="E45" s="29">
        <f>IFERROR(VLOOKUP($C45,VehicleData,3,FALSE)*VLOOKUP(E44,ConvertMileage,2,FALSE),"")</f>
        <v>0.35778175313059035</v>
      </c>
      <c r="F45" s="96">
        <f>VLOOKUP($O$41,FuelEnergyDensity,2,FALSE) * 1000 * $O$43 * VLOOKUP($C45,VehicleData,2,FALSE) / (VLOOKUP($C45,VehicleData,3,FALSE) * 3600) / VLOOKUP(F44,ConvertPower,2,FALSE)</f>
        <v>6699.1569339840535</v>
      </c>
      <c r="G45" s="28">
        <f>IFERROR(VLOOKUP($C45,VehicleData,4,FALSE),"")</f>
        <v>0.38</v>
      </c>
      <c r="H45" s="98">
        <f>G45*VLOOKUP($O$41,FuelEnergyDensity,2,FALSE) * 1000 * $O$43 * VLOOKUP($C45,VehicleData,2,FALSE) / (VLOOKUP($C45,VehicleData,3,FALSE) * 3600) / VLOOKUP(H44,ConvertPower,2,FALSE)</f>
        <v>2545.6796349139404</v>
      </c>
      <c r="I45" s="74">
        <f>IFERROR(VLOOKUP($C45,VehicleData,5,FALSE),"")</f>
        <v>0.6</v>
      </c>
      <c r="J45" s="29">
        <f>IFERROR(VLOOKUP($C45,VehicleData,6,FALSE)/VLOOKUP(J44,ConvertArea,2,FALSE),"")</f>
        <v>14.86448</v>
      </c>
      <c r="K45" s="55">
        <f xml:space="preserve"> (F45 * 1000 * VLOOKUP(F44,ConvertPower,2,FALSE)  * (1 - G45) / ((I45 * VLOOKUP($C45,VehicleData,6,FALSE) + I47 *  VLOOKUP($C47,VehicleData,6,FALSE) * C50) * $O$45))^(1/3) * VLOOKUP(K44,ConvertSpeed,2,FALSE) / KPHtoMPS</f>
        <v>43.209527127955823</v>
      </c>
      <c r="L45" s="102">
        <f xml:space="preserve"> U43 * VLOOKUP(L44,ConvertMileage,2,FALSE)</f>
        <v>0.35836190114897598</v>
      </c>
      <c r="N45" s="36" t="s">
        <v>81</v>
      </c>
      <c r="O45">
        <v>1.2250000000000001</v>
      </c>
      <c r="P45" t="s">
        <v>82</v>
      </c>
      <c r="AB45" s="119">
        <f xml:space="preserve"> AB44 * KPLtoMPG</f>
        <v>0.35778175313059041</v>
      </c>
      <c r="AC45" s="119">
        <f xml:space="preserve"> AC44 * KPLtoMPG</f>
        <v>0.35778175313059041</v>
      </c>
      <c r="AD45" t="s">
        <v>52</v>
      </c>
      <c r="AK45" s="152">
        <f t="shared" si="2"/>
        <v>60</v>
      </c>
      <c r="AL45" s="138">
        <f t="shared" si="0"/>
        <v>96.560669873553806</v>
      </c>
      <c r="AM45" s="139">
        <f t="shared" si="1"/>
        <v>8.0882727062831066</v>
      </c>
      <c r="AN45" s="139">
        <f t="shared" si="1"/>
        <v>8.0882727062831066</v>
      </c>
      <c r="AO45" s="140">
        <f t="shared" si="1"/>
        <v>8.0882727062831066</v>
      </c>
    </row>
    <row r="46" spans="2:43" ht="15" thickBot="1" x14ac:dyDescent="0.35">
      <c r="C46" s="72" t="s">
        <v>126</v>
      </c>
      <c r="D46" s="45"/>
      <c r="E46" s="101"/>
      <c r="F46" s="97">
        <f>VLOOKUP($O$41,FuelEnergyDensity,2,FALSE) * 1000 * $O$43 * IF(D46="",VLOOKUP($C45,VehicleData,2,FALSE),D46/VLOOKUP(D44,ConvertSpeed,2,FALSE)) / (IF(E46="",VLOOKUP($C45,VehicleData,3,FALSE),E46/VLOOKUP(E44,ConvertMileage,2,FALSE)) * 3600) / VLOOKUP(F44,ConvertPower,2,FALSE)</f>
        <v>6699.1569339840535</v>
      </c>
      <c r="G46" s="53"/>
      <c r="H46" s="99">
        <f>IF(G46="",G45,G46)*VLOOKUP($O$41,FuelEnergyDensity,2,FALSE) * 1000 * $O$43 * IF(D46="",VLOOKUP($C45,VehicleData,2,FALSE),D46/VLOOKUP(D44,ConvertSpeed,2,FALSE)) / (IF(E46="",VLOOKUP($C45,VehicleData,3,FALSE),E46/VLOOKUP(E44,ConvertMileage,2,FALSE)) * 3600) / VLOOKUP(H44,ConvertPower,2,FALSE)</f>
        <v>2545.6796349139404</v>
      </c>
      <c r="I46" s="45"/>
      <c r="J46" s="21"/>
      <c r="K46" s="54">
        <f xml:space="preserve"> (F46 * 1000 * VLOOKUP(F44,ConvertPower,2,FALSE) * (1 - IF(G46="",G45,G46))/ ((IF(I46="",I45,I46) * IF(J46="",VLOOKUP($C45,VehicleData,6,FALSE),J46) * VLOOKUP(J44,ConvertArea,2,FALSE) + IF(I48="",I47,I48) *  IF(J48="",VLOOKUP($C47,VehicleData,6,FALSE),J48*VLOOKUP(J44,ConvertArea,2,FALSE)) * C50) * $O$45))^(1/3) * VLOOKUP(K44,ConvertSpeed,2,FALSE) / KPHtoMPS</f>
        <v>43.209527127955823</v>
      </c>
      <c r="L46" s="103">
        <f xml:space="preserve"> V43 * VLOOKUP(L44,ConvertMileage,2,FALSE)</f>
        <v>0.35836190114897598</v>
      </c>
      <c r="S46" s="40"/>
      <c r="AK46" s="152">
        <f t="shared" si="2"/>
        <v>65</v>
      </c>
      <c r="AL46" s="138">
        <f t="shared" si="0"/>
        <v>104.60739236301661</v>
      </c>
      <c r="AM46" s="139">
        <f t="shared" si="1"/>
        <v>8.0786282223675183</v>
      </c>
      <c r="AN46" s="139">
        <f t="shared" si="1"/>
        <v>8.0786282223675183</v>
      </c>
      <c r="AO46" s="140">
        <f t="shared" si="1"/>
        <v>8.0786282223675183</v>
      </c>
    </row>
    <row r="47" spans="2:43" x14ac:dyDescent="0.3">
      <c r="C47" s="52" t="s">
        <v>111</v>
      </c>
      <c r="D47" s="58"/>
      <c r="E47" s="59"/>
      <c r="F47" s="60"/>
      <c r="G47" s="61"/>
      <c r="H47" s="62"/>
      <c r="I47" s="74">
        <f>IFERROR(VLOOKUP($C47,VehicleData,5,FALSE),"")</f>
        <v>0.76666666666666672</v>
      </c>
      <c r="J47" s="29">
        <f>IFERROR(VLOOKUP($C47,VehicleData,6,FALSE)/VLOOKUP(J44,ConvertArea,2,FALSE),"")</f>
        <v>14.86448</v>
      </c>
      <c r="K47" s="68"/>
      <c r="L47" s="69"/>
      <c r="AK47" s="152">
        <f t="shared" si="2"/>
        <v>70</v>
      </c>
      <c r="AL47" s="138">
        <f t="shared" si="0"/>
        <v>112.65411485247944</v>
      </c>
      <c r="AM47" s="139">
        <f t="shared" si="1"/>
        <v>7.9859712087738881</v>
      </c>
      <c r="AN47" s="139">
        <f t="shared" si="1"/>
        <v>7.9859712087738881</v>
      </c>
      <c r="AO47" s="140">
        <f t="shared" si="1"/>
        <v>7.9859712087738881</v>
      </c>
    </row>
    <row r="48" spans="2:43" ht="15" thickBot="1" x14ac:dyDescent="0.35">
      <c r="C48" s="72" t="s">
        <v>126</v>
      </c>
      <c r="D48" s="63"/>
      <c r="E48" s="64"/>
      <c r="F48" s="65"/>
      <c r="G48" s="66"/>
      <c r="H48" s="67"/>
      <c r="I48" s="45"/>
      <c r="J48" s="21"/>
      <c r="K48" s="70"/>
      <c r="L48" s="71"/>
      <c r="AK48" s="152">
        <f t="shared" si="2"/>
        <v>75</v>
      </c>
      <c r="AL48" s="138">
        <f t="shared" si="0"/>
        <v>120.70083734194225</v>
      </c>
      <c r="AM48" s="139">
        <f t="shared" si="1"/>
        <v>7.8259091098646767</v>
      </c>
      <c r="AN48" s="139">
        <f t="shared" si="1"/>
        <v>7.8259091098646767</v>
      </c>
      <c r="AO48" s="140">
        <f t="shared" si="1"/>
        <v>7.8259091098646767</v>
      </c>
    </row>
    <row r="49" spans="2:41" x14ac:dyDescent="0.3">
      <c r="C49" s="86" t="s">
        <v>109</v>
      </c>
      <c r="AK49" s="152">
        <f t="shared" si="2"/>
        <v>80</v>
      </c>
      <c r="AL49" s="138">
        <f t="shared" si="0"/>
        <v>128.74755983140506</v>
      </c>
      <c r="AM49" s="139">
        <f t="shared" si="1"/>
        <v>7.613599844287827</v>
      </c>
      <c r="AN49" s="139">
        <f t="shared" si="1"/>
        <v>7.613599844287827</v>
      </c>
      <c r="AO49" s="140">
        <f t="shared" si="1"/>
        <v>7.613599844287827</v>
      </c>
    </row>
    <row r="50" spans="2:41" ht="15" thickBot="1" x14ac:dyDescent="0.35">
      <c r="C50" s="57">
        <v>30</v>
      </c>
      <c r="AK50" s="152">
        <f t="shared" si="2"/>
        <v>85</v>
      </c>
      <c r="AL50" s="138">
        <f t="shared" si="0"/>
        <v>136.79428232086789</v>
      </c>
      <c r="AM50" s="139">
        <f t="shared" si="1"/>
        <v>7.362935297420881</v>
      </c>
      <c r="AN50" s="139">
        <f t="shared" si="1"/>
        <v>7.362935297420881</v>
      </c>
      <c r="AO50" s="140">
        <f t="shared" si="1"/>
        <v>7.362935297420881</v>
      </c>
    </row>
    <row r="51" spans="2:41" x14ac:dyDescent="0.3">
      <c r="AK51" s="152">
        <f t="shared" si="2"/>
        <v>90</v>
      </c>
      <c r="AL51" s="138">
        <f t="shared" si="0"/>
        <v>144.8410048103307</v>
      </c>
      <c r="AM51" s="139">
        <f t="shared" si="1"/>
        <v>7.0860612996618917</v>
      </c>
      <c r="AN51" s="139">
        <f t="shared" si="1"/>
        <v>7.0860612996618917</v>
      </c>
      <c r="AO51" s="140">
        <f t="shared" si="1"/>
        <v>7.0860612996618917</v>
      </c>
    </row>
    <row r="52" spans="2:41" x14ac:dyDescent="0.3">
      <c r="C52" s="36" t="s">
        <v>171</v>
      </c>
      <c r="AK52" s="152">
        <f t="shared" si="2"/>
        <v>95</v>
      </c>
      <c r="AL52" s="138">
        <f t="shared" si="0"/>
        <v>152.88772729979351</v>
      </c>
      <c r="AM52" s="139">
        <f t="shared" si="1"/>
        <v>6.7931814669448141</v>
      </c>
      <c r="AN52" s="139">
        <f t="shared" si="1"/>
        <v>6.7931814669448141</v>
      </c>
      <c r="AO52" s="140">
        <f t="shared" si="1"/>
        <v>6.7931814669448141</v>
      </c>
    </row>
    <row r="53" spans="2:41" ht="15" thickBot="1" x14ac:dyDescent="0.35">
      <c r="C53" s="36" t="s">
        <v>219</v>
      </c>
      <c r="AK53" s="153">
        <f t="shared" si="2"/>
        <v>100</v>
      </c>
      <c r="AL53" s="141">
        <f t="shared" si="0"/>
        <v>160.93444978925635</v>
      </c>
      <c r="AM53" s="142">
        <f t="shared" si="1"/>
        <v>6.4925700005495592</v>
      </c>
      <c r="AN53" s="142">
        <f t="shared" si="1"/>
        <v>6.4925700005495592</v>
      </c>
      <c r="AO53" s="143">
        <f t="shared" si="1"/>
        <v>6.4925700005495592</v>
      </c>
    </row>
    <row r="54" spans="2:41" ht="15" thickBot="1" x14ac:dyDescent="0.35"/>
    <row r="55" spans="2:41" ht="18.600000000000001" thickBot="1" x14ac:dyDescent="0.4">
      <c r="B55" s="8" t="s">
        <v>27</v>
      </c>
      <c r="D55" s="160" t="s">
        <v>10</v>
      </c>
      <c r="E55" s="162"/>
      <c r="F55" s="162"/>
      <c r="G55" s="162"/>
      <c r="H55" s="161"/>
      <c r="I55" s="162" t="s">
        <v>40</v>
      </c>
      <c r="J55" s="161"/>
      <c r="N55" t="s">
        <v>29</v>
      </c>
      <c r="U55" s="10" t="s">
        <v>224</v>
      </c>
      <c r="V55" s="10" t="s">
        <v>225</v>
      </c>
      <c r="AB55" s="10" t="s">
        <v>224</v>
      </c>
      <c r="AC55" s="10" t="s">
        <v>225</v>
      </c>
    </row>
    <row r="56" spans="2:41" x14ac:dyDescent="0.3">
      <c r="C56" s="48"/>
      <c r="D56" s="41"/>
      <c r="E56" s="34" t="s">
        <v>71</v>
      </c>
      <c r="F56" s="34" t="s">
        <v>37</v>
      </c>
      <c r="G56" s="34"/>
      <c r="H56" s="35"/>
      <c r="I56" s="41"/>
      <c r="J56" s="34"/>
      <c r="K56" s="22" t="s">
        <v>60</v>
      </c>
      <c r="L56" s="23" t="s">
        <v>89</v>
      </c>
      <c r="N56" s="36" t="s">
        <v>75</v>
      </c>
      <c r="O56" s="36" t="str">
        <f>VLOOKUP(C60,VehicleData,7,FALSE)</f>
        <v>#6 fuel oil</v>
      </c>
      <c r="T56" s="2" t="s">
        <v>96</v>
      </c>
      <c r="U56" s="100">
        <f>(1 - G60) * F60  * VLOOKUP(F59,ConvertPower,2,FALSE) * 1000 * 1 / (K60 / VLOOKUP(K59,ConvertSpeed,2,FALSE) * KPHtoMPS)</f>
        <v>5110369.0165324034</v>
      </c>
      <c r="V56" s="100">
        <f>(1 - IF(G61="",G60,G61)) * F61  * VLOOKUP(F59,ConvertPower,2,FALSE) * 1000 * 1 / (K61 / VLOOKUP(K59,ConvertSpeed,2,FALSE) * KPHtoMPS)</f>
        <v>5110369.0165324034</v>
      </c>
      <c r="W56" t="s">
        <v>95</v>
      </c>
      <c r="AA56" s="2" t="s">
        <v>245</v>
      </c>
      <c r="AB56" s="100">
        <f>(1 - G60) * F60  * VLOOKUP(F59,ConvertPower,2,FALSE) * 1000 * 1 / (D60 / VLOOKUP(D59,ConvertSpeed,2,FALSE) * KPHtoMPS)</f>
        <v>3448856.6056104265</v>
      </c>
      <c r="AC56" s="100">
        <f>(1 - IF(G61="",G60,G61)) * F61  * VLOOKUP(F59,ConvertPower,2,FALSE) * 1000 * 1 / (IF(D61="",D60,D61) / VLOOKUP(D59,ConvertSpeed,2,FALSE) * KPHtoMPS)</f>
        <v>3448856.6056104265</v>
      </c>
      <c r="AD56" t="s">
        <v>95</v>
      </c>
    </row>
    <row r="57" spans="2:41" x14ac:dyDescent="0.3">
      <c r="C57" s="49" t="s">
        <v>136</v>
      </c>
      <c r="D57" s="41" t="s">
        <v>35</v>
      </c>
      <c r="E57" s="34" t="s">
        <v>72</v>
      </c>
      <c r="F57" s="34" t="s">
        <v>11</v>
      </c>
      <c r="G57" s="34" t="s">
        <v>59</v>
      </c>
      <c r="H57" s="35" t="s">
        <v>59</v>
      </c>
      <c r="I57" s="41" t="s">
        <v>40</v>
      </c>
      <c r="J57" s="34" t="s">
        <v>41</v>
      </c>
      <c r="K57" s="33" t="s">
        <v>61</v>
      </c>
      <c r="L57" s="35" t="s">
        <v>88</v>
      </c>
      <c r="N57" s="36" t="s">
        <v>77</v>
      </c>
      <c r="O57">
        <f>VLOOKUP(O56,FuelEnergyDensity,2,FALSE)</f>
        <v>48</v>
      </c>
      <c r="P57" t="s">
        <v>2</v>
      </c>
      <c r="T57" s="2" t="s">
        <v>97</v>
      </c>
      <c r="U57" s="100">
        <f xml:space="preserve">  0.5 * O60 * I60 * J60 * VLOOKUP(J59,ConvertArea,2,FALSE) * (K60 / VLOOKUP(K59,ConvertSpeed,2,FALSE) * KPHtoMPS)^2</f>
        <v>2555184.5082661966</v>
      </c>
      <c r="V57" s="100">
        <f xml:space="preserve">  0.5 * O60 * IF(I61="",I60,I61) * IF(J61="",J60,J61) * VLOOKUP(J59,ConvertArea,2,FALSE) * (K61 / VLOOKUP(K59,ConvertSpeed,2,FALSE) * KPHtoMPS)^2</f>
        <v>2555184.5082661966</v>
      </c>
      <c r="W57" t="s">
        <v>94</v>
      </c>
      <c r="AA57" s="2" t="s">
        <v>246</v>
      </c>
      <c r="AB57" s="100">
        <f xml:space="preserve">  0.5 * O60 * I60 * J60 * VLOOKUP(J59,ConvertArea,2,FALSE) * (IF(D61="",D60,D61) / VLOOKUP(D59,ConvertSpeed,2,FALSE) * KPHtoMPS)^2</f>
        <v>5610176.3452136759</v>
      </c>
      <c r="AC57" s="100">
        <f xml:space="preserve">  0.5 * O60 * IF(I61="",I60,I61) * IF(J61="",J60,J61) * VLOOKUP(J59,ConvertArea,2,FALSE) * (IF(D61="",D60,D61) / VLOOKUP(D59,ConvertSpeed,2,FALSE) * KPHtoMPS)^2</f>
        <v>5610176.3452136759</v>
      </c>
      <c r="AD57" t="s">
        <v>94</v>
      </c>
    </row>
    <row r="58" spans="2:41" x14ac:dyDescent="0.3">
      <c r="C58" s="50" t="s">
        <v>43</v>
      </c>
      <c r="D58" s="42" t="s">
        <v>0</v>
      </c>
      <c r="E58" s="25" t="s">
        <v>0</v>
      </c>
      <c r="F58" s="25" t="s">
        <v>170</v>
      </c>
      <c r="G58" s="25" t="s">
        <v>38</v>
      </c>
      <c r="H58" s="26" t="s">
        <v>58</v>
      </c>
      <c r="I58" s="42" t="s">
        <v>172</v>
      </c>
      <c r="J58" s="25" t="s">
        <v>173</v>
      </c>
      <c r="K58" s="24" t="s">
        <v>62</v>
      </c>
      <c r="L58" s="26" t="s">
        <v>36</v>
      </c>
      <c r="N58" t="s">
        <v>93</v>
      </c>
      <c r="O58">
        <f>VLOOKUP(O56,FuelEnergyDensity,3,FALSE)</f>
        <v>0.9</v>
      </c>
      <c r="P58" t="s">
        <v>80</v>
      </c>
      <c r="T58" s="2" t="s">
        <v>98</v>
      </c>
      <c r="U58" s="113">
        <f xml:space="preserve"> $O59 / (AB58 + (U56 - AB56) + (U57 - AB57) )* 1000</f>
        <v>9.9205098101186346E-3</v>
      </c>
      <c r="V58" s="113">
        <f xml:space="preserve"> $O59 / (AC58 + (V56 - AC56) + (V57 - AC57) )* 1000</f>
        <v>9.9205098101186346E-3</v>
      </c>
      <c r="W58" t="s">
        <v>248</v>
      </c>
      <c r="AA58" s="2" t="s">
        <v>247</v>
      </c>
      <c r="AB58" s="100">
        <f xml:space="preserve"> F60  * VLOOKUP(F59,ConvertPower,2,FALSE) * 1000 * 1 / (D60 / VLOOKUP(D59,ConvertSpeed,2,FALSE) * KPHtoMPS)</f>
        <v>5748094.3426840436</v>
      </c>
      <c r="AC58" s="100">
        <f xml:space="preserve"> F61  * VLOOKUP(F59,ConvertPower,2,FALSE) * 1000 * 1 / (IF(D61="",D60,D61) / VLOOKUP(D59,ConvertSpeed,2,FALSE) * KPHtoMPS)</f>
        <v>5748094.3426840436</v>
      </c>
      <c r="AD58" t="s">
        <v>95</v>
      </c>
    </row>
    <row r="59" spans="2:41" ht="15" thickBot="1" x14ac:dyDescent="0.35">
      <c r="C59" s="51"/>
      <c r="D59" s="46" t="s">
        <v>134</v>
      </c>
      <c r="E59" s="30" t="s">
        <v>176</v>
      </c>
      <c r="F59" s="30" t="s">
        <v>78</v>
      </c>
      <c r="G59" s="27" t="s">
        <v>39</v>
      </c>
      <c r="H59" s="32" t="s">
        <v>78</v>
      </c>
      <c r="I59" s="43"/>
      <c r="J59" s="30" t="s">
        <v>53</v>
      </c>
      <c r="K59" s="31" t="s">
        <v>134</v>
      </c>
      <c r="L59" s="32" t="s">
        <v>176</v>
      </c>
      <c r="N59" t="s">
        <v>92</v>
      </c>
      <c r="O59" s="39">
        <f>O57*O58</f>
        <v>43.2</v>
      </c>
      <c r="P59" t="s">
        <v>90</v>
      </c>
      <c r="U59" s="119">
        <f xml:space="preserve"> U58 * KPLtoMPG</f>
        <v>2.3334483220111238E-2</v>
      </c>
      <c r="V59" s="119">
        <f xml:space="preserve"> V58 * KPLtoMPG</f>
        <v>2.3334483220111238E-2</v>
      </c>
      <c r="W59" t="s">
        <v>256</v>
      </c>
      <c r="AA59" s="2" t="s">
        <v>257</v>
      </c>
      <c r="AB59" s="119">
        <f xml:space="preserve"> $O59 / AB58 * 1000</f>
        <v>7.5155342665840768E-3</v>
      </c>
      <c r="AC59" s="119">
        <f xml:space="preserve"> $O59 / AC58 * 1000</f>
        <v>7.5155342665840768E-3</v>
      </c>
      <c r="AD59" t="s">
        <v>248</v>
      </c>
    </row>
    <row r="60" spans="2:41" x14ac:dyDescent="0.3">
      <c r="C60" s="52" t="s">
        <v>133</v>
      </c>
      <c r="D60" s="47">
        <f>IFERROR(VLOOKUP($C60,VehicleData,2,FALSE)*VLOOKUP(D59,ConvertSpeed,2,FALSE),"")</f>
        <v>25.5</v>
      </c>
      <c r="E60" s="37">
        <f>IFERROR(VLOOKUP($C60,VehicleData,3,FALSE)*VLOOKUP(E59,ConvertMileage,2,FALSE),"")</f>
        <v>7.5155342665840745</v>
      </c>
      <c r="F60" s="96">
        <f>VLOOKUP($O$56,FuelEnergyDensity,2,FALSE) * 1000 * $O$58 * VLOOKUP($C60,VehicleData,2,FALSE) / (VLOOKUP($C60,VehicleData,3,FALSE) * 3600) / VLOOKUP(F59,ConvertPower,2,FALSE)</f>
        <v>75405.417682419022</v>
      </c>
      <c r="G60" s="28">
        <f>IFERROR(VLOOKUP($C60,VehicleData,4,FALSE),"")</f>
        <v>0.4</v>
      </c>
      <c r="H60" s="98">
        <f>G60*VLOOKUP($O$56,FuelEnergyDensity,2,FALSE) * 1000 * $O$58 * VLOOKUP($C60,VehicleData,2,FALSE) / (VLOOKUP($C60,VehicleData,3,FALSE) * 3600) / VLOOKUP(H59,ConvertPower,2,FALSE)</f>
        <v>30162.167072967615</v>
      </c>
      <c r="I60" s="73">
        <f>IFERROR(VLOOKUP($C60,VehicleData,5,FALSE),"")</f>
        <v>2.7000000000000001E-3</v>
      </c>
      <c r="J60" s="96">
        <f>IFERROR(VLOOKUP($C60,VehicleData,6,FALSE)/VLOOKUP(J59,ConvertArea,2,FALSE),"")</f>
        <v>23559.255062068965</v>
      </c>
      <c r="K60" s="55">
        <f xml:space="preserve"> (F60 * 1000 * VLOOKUP(F59,ConvertPower,2,FALSE)  * (1 - G60) / ((I60 * VLOOKUP($C60,VehicleData,6,FALSE)) * $O$60))^(1/3) * VLOOKUP(K59,ConvertSpeed,2,FALSE) / KPHtoMPS</f>
        <v>17.209294115269344</v>
      </c>
      <c r="L60" s="38">
        <f xml:space="preserve"> U58 * VLOOKUP(L59,ConvertMileage,2,FALSE)</f>
        <v>9.9205098101186344</v>
      </c>
      <c r="N60" s="36" t="s">
        <v>149</v>
      </c>
      <c r="O60">
        <v>1025</v>
      </c>
      <c r="P60" t="s">
        <v>82</v>
      </c>
      <c r="U60" s="119">
        <f>U58 * KPLtoMPL</f>
        <v>9.9205098101186344</v>
      </c>
      <c r="V60" s="119">
        <f>V58 * KPLtoMPL</f>
        <v>9.9205098101186344</v>
      </c>
      <c r="W60" t="s">
        <v>176</v>
      </c>
      <c r="AB60" s="119">
        <f xml:space="preserve"> AB59 * KPLtoMPG</f>
        <v>1.7677630645040406E-2</v>
      </c>
      <c r="AC60" s="119">
        <f xml:space="preserve"> AC59 * KPLtoMPG</f>
        <v>1.7677630645040406E-2</v>
      </c>
      <c r="AD60" t="s">
        <v>256</v>
      </c>
    </row>
    <row r="61" spans="2:41" ht="15" thickBot="1" x14ac:dyDescent="0.35">
      <c r="C61" s="72" t="s">
        <v>126</v>
      </c>
      <c r="D61" s="45"/>
      <c r="E61" s="21"/>
      <c r="F61" s="97">
        <f>VLOOKUP($O$56,FuelEnergyDensity,2,FALSE) * 1000 * $O$58 * IF(D61="",VLOOKUP($C60,VehicleData,2,FALSE),D61/VLOOKUP(D59,ConvertSpeed,2,FALSE)) / (IF(E61="",VLOOKUP($C60,VehicleData,3,FALSE),E61/VLOOKUP(E59,ConvertMileage,2,FALSE)) * 3600) / VLOOKUP(F59,ConvertPower,2,FALSE)</f>
        <v>75405.417682419022</v>
      </c>
      <c r="G61" s="53"/>
      <c r="H61" s="99">
        <f>IF(G61="",G60,G61)*VLOOKUP($O$56,FuelEnergyDensity,2,FALSE) * 1000 * $O$58 * IF(D61="",VLOOKUP($C60,VehicleData,2,FALSE),D61/VLOOKUP(D59,ConvertSpeed,2,FALSE)) / (IF(E61="",VLOOKUP($C60,VehicleData,3,FALSE),E61/VLOOKUP(E59,ConvertMileage,2,FALSE)) * 3600) / VLOOKUP(H59,ConvertPower,2,FALSE)</f>
        <v>30162.167072967615</v>
      </c>
      <c r="I61" s="45"/>
      <c r="J61" s="21"/>
      <c r="K61" s="54">
        <f xml:space="preserve"> (F61 * 1000 * VLOOKUP(F59,ConvertPower,2,FALSE) * (1 - IF(G61="",G60,G61))/ ((IF(I61="",I60,I61) * IF(J61="",VLOOKUP($C60,VehicleData,6,FALSE),J61) * VLOOKUP(J59,ConvertArea,2,FALSE)) * $O$60))^(1/3) * VLOOKUP(K59,ConvertSpeed,2,FALSE) / KPHtoMPS</f>
        <v>17.209294115269344</v>
      </c>
      <c r="L61" s="56">
        <f xml:space="preserve"> V58 * VLOOKUP(L59,ConvertMileage,2,FALSE)</f>
        <v>9.9205098101186344</v>
      </c>
      <c r="S61" s="40"/>
      <c r="AB61" s="119">
        <f>AB59 * KPLtoMPL</f>
        <v>7.5155342665840772</v>
      </c>
      <c r="AC61" s="119">
        <f>AC59 * KPLtoMPL</f>
        <v>7.5155342665840772</v>
      </c>
      <c r="AD61" t="s">
        <v>176</v>
      </c>
    </row>
    <row r="63" spans="2:41" x14ac:dyDescent="0.3">
      <c r="C63" s="36" t="s">
        <v>171</v>
      </c>
      <c r="N63" s="36"/>
    </row>
    <row r="64" spans="2:41" x14ac:dyDescent="0.3">
      <c r="C64" t="s">
        <v>174</v>
      </c>
      <c r="N64" s="36"/>
    </row>
    <row r="65" spans="2:30" ht="15" thickBot="1" x14ac:dyDescent="0.35"/>
    <row r="66" spans="2:30" ht="18.600000000000001" thickBot="1" x14ac:dyDescent="0.4">
      <c r="B66" s="8" t="s">
        <v>28</v>
      </c>
      <c r="D66" s="160" t="s">
        <v>10</v>
      </c>
      <c r="E66" s="162"/>
      <c r="F66" s="162"/>
      <c r="G66" s="162"/>
      <c r="H66" s="161"/>
      <c r="I66" s="162" t="s">
        <v>40</v>
      </c>
      <c r="J66" s="161"/>
      <c r="N66" t="s">
        <v>29</v>
      </c>
      <c r="U66" s="10" t="s">
        <v>224</v>
      </c>
      <c r="V66" s="10" t="s">
        <v>225</v>
      </c>
      <c r="AB66" s="10" t="s">
        <v>224</v>
      </c>
      <c r="AC66" s="10" t="s">
        <v>225</v>
      </c>
    </row>
    <row r="67" spans="2:30" x14ac:dyDescent="0.3">
      <c r="C67" s="48"/>
      <c r="D67" s="41"/>
      <c r="E67" s="34" t="s">
        <v>71</v>
      </c>
      <c r="F67" s="34" t="s">
        <v>37</v>
      </c>
      <c r="G67" s="34"/>
      <c r="H67" s="35"/>
      <c r="I67" s="41"/>
      <c r="J67" s="34"/>
      <c r="K67" s="22" t="s">
        <v>60</v>
      </c>
      <c r="L67" s="23" t="s">
        <v>89</v>
      </c>
      <c r="N67" s="36" t="s">
        <v>75</v>
      </c>
      <c r="O67" s="36" t="str">
        <f>VLOOKUP(C71,VehicleData,7,FALSE)</f>
        <v>jet fuel</v>
      </c>
      <c r="T67" s="2" t="s">
        <v>96</v>
      </c>
      <c r="U67" s="100">
        <f>(1 - G71) * F71  * VLOOKUP(F70,ConvertPower,2,FALSE) * 1000 * 1 / (K71 / VLOOKUP(K70,ConvertSpeed,2,FALSE) * KPHtoMPS)</f>
        <v>559231.50527649675</v>
      </c>
      <c r="V67" s="100">
        <f>(1 - IF(G72="",G71,G72)) * F72  * VLOOKUP(F70,ConvertPower,2,FALSE) * 1000 * 1 / (K72 / VLOOKUP(K70,ConvertSpeed,2,FALSE) * KPHtoMPS)</f>
        <v>559231.50527649675</v>
      </c>
      <c r="W67" t="s">
        <v>95</v>
      </c>
      <c r="AA67" s="2" t="s">
        <v>245</v>
      </c>
      <c r="AB67" s="100">
        <f>(1 - G71) * F71  * VLOOKUP(F70,ConvertPower,2,FALSE) * 1000 * 1 / (D71 / VLOOKUP(D70,ConvertSpeed,2,FALSE) * KPHtoMPS)</f>
        <v>624454.8809124456</v>
      </c>
      <c r="AC67" s="100">
        <f>(1 - IF(G72="",G71,G72)) * F72  * VLOOKUP(F70,ConvertPower,2,FALSE) * 1000 * 1 / (IF(D72="",D71,D72) / VLOOKUP(D70,ConvertSpeed,2,FALSE) * KPHtoMPS)</f>
        <v>624454.8809124456</v>
      </c>
      <c r="AD67" t="s">
        <v>95</v>
      </c>
    </row>
    <row r="68" spans="2:30" x14ac:dyDescent="0.3">
      <c r="C68" s="49" t="s">
        <v>145</v>
      </c>
      <c r="D68" s="41" t="s">
        <v>35</v>
      </c>
      <c r="E68" s="34" t="s">
        <v>72</v>
      </c>
      <c r="F68" s="34" t="s">
        <v>11</v>
      </c>
      <c r="G68" s="34" t="s">
        <v>59</v>
      </c>
      <c r="H68" s="35" t="s">
        <v>59</v>
      </c>
      <c r="I68" s="41" t="s">
        <v>40</v>
      </c>
      <c r="J68" s="34" t="s">
        <v>41</v>
      </c>
      <c r="K68" s="33" t="s">
        <v>61</v>
      </c>
      <c r="L68" s="35" t="s">
        <v>88</v>
      </c>
      <c r="N68" s="36" t="s">
        <v>77</v>
      </c>
      <c r="O68">
        <f>VLOOKUP(O67,FuelEnergyDensity,2,FALSE)</f>
        <v>43.8</v>
      </c>
      <c r="P68" t="s">
        <v>2</v>
      </c>
      <c r="T68" s="2" t="s">
        <v>97</v>
      </c>
      <c r="U68" s="100">
        <f xml:space="preserve">  0.5 * O71 * I71 * J71 * VLOOKUP(J70,ConvertArea,2,FALSE) * (K71 / VLOOKUP(K70,ConvertSpeed,2,FALSE) * KPHtoMPS)^2</f>
        <v>279615.75263824756</v>
      </c>
      <c r="V68" s="100">
        <f xml:space="preserve">  0.5 * O71 * IF(I72="",I71,I72) * IF(J72="",J71,J72) * VLOOKUP(J70,ConvertArea,2,FALSE) * (K72 / VLOOKUP(K70,ConvertSpeed,2,FALSE) * KPHtoMPS)^2</f>
        <v>279615.75263824756</v>
      </c>
      <c r="W68" t="s">
        <v>94</v>
      </c>
      <c r="AA68" s="2" t="s">
        <v>246</v>
      </c>
      <c r="AB68" s="100">
        <f xml:space="preserve">  0.5 * O71 * I71 * J71 * VLOOKUP(J70,ConvertArea,2,FALSE) * (IF(D72="",D71,D72) / VLOOKUP(D70,ConvertSpeed,2,FALSE) * KPHtoMPS)^2</f>
        <v>224255.32577399441</v>
      </c>
      <c r="AC68" s="100">
        <f xml:space="preserve">  0.5 * O71 * IF(I72="",I71,I72) * IF(J72="",J71,J72) * VLOOKUP(J70,ConvertArea,2,FALSE) * (IF(D72="",D71,D72) / VLOOKUP(D70,ConvertSpeed,2,FALSE) * KPHtoMPS)^2</f>
        <v>224255.32577399441</v>
      </c>
      <c r="AD68" t="s">
        <v>94</v>
      </c>
    </row>
    <row r="69" spans="2:30" x14ac:dyDescent="0.3">
      <c r="C69" s="50" t="s">
        <v>43</v>
      </c>
      <c r="D69" s="42" t="s">
        <v>0</v>
      </c>
      <c r="E69" s="25" t="s">
        <v>0</v>
      </c>
      <c r="F69" s="25" t="s">
        <v>170</v>
      </c>
      <c r="G69" s="25" t="s">
        <v>38</v>
      </c>
      <c r="H69" s="26" t="s">
        <v>58</v>
      </c>
      <c r="I69" s="42" t="s">
        <v>172</v>
      </c>
      <c r="J69" s="25" t="s">
        <v>173</v>
      </c>
      <c r="K69" s="24" t="s">
        <v>179</v>
      </c>
      <c r="L69" s="26" t="s">
        <v>180</v>
      </c>
      <c r="N69" t="s">
        <v>93</v>
      </c>
      <c r="O69">
        <f>VLOOKUP(O67,FuelEnergyDensity,3,FALSE)</f>
        <v>0.82</v>
      </c>
      <c r="P69" t="s">
        <v>80</v>
      </c>
      <c r="T69" s="2" t="s">
        <v>98</v>
      </c>
      <c r="U69" s="113">
        <f xml:space="preserve"> $O70 / (AB69 + (U67 - AB67) + (U68 - AB68) )* 1000</f>
        <v>4.3653942473622871E-2</v>
      </c>
      <c r="V69" s="113">
        <f xml:space="preserve"> $O70 / (AC69 + (V67 - AC67) + (V68 - AC68) )* 1000</f>
        <v>4.3653942473622871E-2</v>
      </c>
      <c r="W69" t="s">
        <v>248</v>
      </c>
      <c r="AA69" s="2" t="s">
        <v>247</v>
      </c>
      <c r="AB69" s="100">
        <f xml:space="preserve"> F71  * VLOOKUP(F70,ConvertPower,2,FALSE) * 1000 * 1 / (D71 / VLOOKUP(D70,ConvertSpeed,2,FALSE) * KPHtoMPS)</f>
        <v>832606.50788326073</v>
      </c>
      <c r="AC69" s="100">
        <f xml:space="preserve"> F72  * VLOOKUP(F70,ConvertPower,2,FALSE) * 1000 * 1 / (IF(D72="",D71,D72) / VLOOKUP(D70,ConvertSpeed,2,FALSE) * KPHtoMPS)</f>
        <v>832606.50788326073</v>
      </c>
      <c r="AD69" t="s">
        <v>95</v>
      </c>
    </row>
    <row r="70" spans="2:30" ht="15" thickBot="1" x14ac:dyDescent="0.35">
      <c r="C70" s="51"/>
      <c r="D70" s="46" t="s">
        <v>5</v>
      </c>
      <c r="E70" s="30" t="s">
        <v>176</v>
      </c>
      <c r="F70" s="30" t="s">
        <v>78</v>
      </c>
      <c r="G70" s="27" t="s">
        <v>39</v>
      </c>
      <c r="H70" s="32" t="s">
        <v>78</v>
      </c>
      <c r="I70" s="43"/>
      <c r="J70" s="30" t="s">
        <v>53</v>
      </c>
      <c r="K70" s="31" t="s">
        <v>5</v>
      </c>
      <c r="L70" s="32" t="s">
        <v>176</v>
      </c>
      <c r="N70" t="s">
        <v>92</v>
      </c>
      <c r="O70" s="39">
        <f>O68*O69</f>
        <v>35.915999999999997</v>
      </c>
      <c r="P70" t="s">
        <v>90</v>
      </c>
      <c r="U70" s="119">
        <f xml:space="preserve"> U69 * KPLtoMPG</f>
        <v>0.10268042748200988</v>
      </c>
      <c r="V70" s="119">
        <f xml:space="preserve"> V69 * KPLtoMPG</f>
        <v>0.10268042748200988</v>
      </c>
      <c r="W70" t="s">
        <v>256</v>
      </c>
      <c r="AA70" s="2" t="s">
        <v>257</v>
      </c>
      <c r="AB70" s="119">
        <f xml:space="preserve"> $O70 / AB69 * 1000</f>
        <v>4.3136823529411762E-2</v>
      </c>
      <c r="AC70" s="119">
        <f xml:space="preserve"> $O70 / AC69 * 1000</f>
        <v>4.3136823529411762E-2</v>
      </c>
      <c r="AD70" t="s">
        <v>248</v>
      </c>
    </row>
    <row r="71" spans="2:30" x14ac:dyDescent="0.3">
      <c r="C71" s="52" t="s">
        <v>12</v>
      </c>
      <c r="D71" s="47">
        <f>IFERROR(VLOOKUP($C71,VehicleData,2,FALSE)*VLOOKUP(D70,ConvertSpeed,2,FALSE),"")</f>
        <v>580</v>
      </c>
      <c r="E71" s="37">
        <f>IFERROR(VLOOKUP($C71,VehicleData,3,FALSE)*VLOOKUP(E70,ConvertMileage,2,FALSE),"")</f>
        <v>43.136823529411764</v>
      </c>
      <c r="F71" s="96">
        <f>VLOOKUP($O$67,FuelEnergyDensity,2,FALSE) * 1000 * $O$69 * VLOOKUP($C71,VehicleData,2,FALSE) / (VLOOKUP($C71,VehicleData,3,FALSE) * 3600) / VLOOKUP(F70,ConvertPower,2,FALSE)</f>
        <v>215880.94649318076</v>
      </c>
      <c r="G71" s="28">
        <f>IFERROR(VLOOKUP($C71,VehicleData,4,FALSE),"")</f>
        <v>0.25</v>
      </c>
      <c r="H71" s="98">
        <f>G71*VLOOKUP($O$67,FuelEnergyDensity,2,FALSE) * 1000 * $O$69 * VLOOKUP($C71,VehicleData,2,FALSE) / (VLOOKUP($C71,VehicleData,3,FALSE) * 3600) / VLOOKUP(H70,ConvertPower,2,FALSE)</f>
        <v>53970.23662329519</v>
      </c>
      <c r="I71" s="73">
        <f>IFERROR(VLOOKUP($C71,VehicleData,5,FALSE),"")</f>
        <v>3.1E-2</v>
      </c>
      <c r="J71" s="29">
        <f>IFERROR(VLOOKUP($C71,VehicleData,6,FALSE)/VLOOKUP(J70,ConvertArea,2,FALSE),"")</f>
        <v>524.90194999999994</v>
      </c>
      <c r="K71" s="55">
        <f xml:space="preserve"> (F71 * 1000 * VLOOKUP(F70,ConvertPower,2,FALSE)  * (1 - G71) / ((I71 * VLOOKUP($C71,VehicleData,6,FALSE)) * $O$71))^(1/3) * VLOOKUP(K70,ConvertSpeed,2,FALSE) / KPHtoMPS</f>
        <v>647.64561279527095</v>
      </c>
      <c r="L71" s="38">
        <f xml:space="preserve"> U69 * VLOOKUP(L70,ConvertMileage,2,FALSE)</f>
        <v>43.65394247362287</v>
      </c>
      <c r="N71" s="36" t="s">
        <v>81</v>
      </c>
      <c r="O71">
        <f>IF(D74="feet",VLOOKUP(C74,AirDensityFt,4),VLOOKUP(C74,AirDensityMtr,5))</f>
        <v>0.41</v>
      </c>
      <c r="P71" t="s">
        <v>82</v>
      </c>
      <c r="Q71" t="s">
        <v>237</v>
      </c>
      <c r="U71" s="119">
        <f>U69 * KPLtoMPL</f>
        <v>43.65394247362287</v>
      </c>
      <c r="V71" s="119">
        <f>V69 * KPLtoMPL</f>
        <v>43.65394247362287</v>
      </c>
      <c r="W71" t="s">
        <v>176</v>
      </c>
      <c r="AB71" s="119">
        <f xml:space="preserve"> AB70 * KPLtoMPG</f>
        <v>0.10146408844727721</v>
      </c>
      <c r="AC71" s="119">
        <f xml:space="preserve"> AC70 * KPLtoMPG</f>
        <v>0.10146408844727721</v>
      </c>
      <c r="AD71" t="s">
        <v>256</v>
      </c>
    </row>
    <row r="72" spans="2:30" ht="15" thickBot="1" x14ac:dyDescent="0.35">
      <c r="C72" s="72" t="s">
        <v>126</v>
      </c>
      <c r="D72" s="45"/>
      <c r="E72" s="21"/>
      <c r="F72" s="97">
        <f>VLOOKUP($O$67,FuelEnergyDensity,2,FALSE) * 1000 * $O$69 * IF(D72="",VLOOKUP($C71,VehicleData,2,FALSE),D72/VLOOKUP(D70,ConvertSpeed,2,FALSE)) / (IF(E72="",VLOOKUP($C71,VehicleData,3,FALSE),E72/VLOOKUP(E70,ConvertMileage,2,FALSE)) * 3600) / VLOOKUP(F70,ConvertPower,2,FALSE)</f>
        <v>215880.94649318076</v>
      </c>
      <c r="G72" s="53"/>
      <c r="H72" s="99">
        <f>IF(G72="",G71,G72)*VLOOKUP($O$67,FuelEnergyDensity,2,FALSE) * 1000 * $O$69 * IF(D72="",VLOOKUP($C71,VehicleData,2,FALSE),D72/VLOOKUP(D70,ConvertSpeed,2,FALSE)) / (IF(E72="",VLOOKUP($C71,VehicleData,3,FALSE),E72/VLOOKUP(E70,ConvertMileage,2,FALSE)) * 3600) / VLOOKUP(F70,ConvertPower,2,FALSE)</f>
        <v>53970.23662329519</v>
      </c>
      <c r="I72" s="45"/>
      <c r="J72" s="21"/>
      <c r="K72" s="54">
        <f xml:space="preserve"> (F72 * 1000 * VLOOKUP(F70,ConvertPower,2,FALSE) * (1 - IF(G72="",G71,G72))/ ((IF(I72="",I71,I72) * IF(J72="",VLOOKUP($C71,VehicleData,6,FALSE),J72) * VLOOKUP(J70,ConvertArea,2,FALSE)) * $O$71))^(1/3) * VLOOKUP(K70,ConvertSpeed,2,FALSE) / KPHtoMPS</f>
        <v>647.64561279527095</v>
      </c>
      <c r="L72" s="56">
        <f xml:space="preserve"> V69 * VLOOKUP(L70,ConvertMileage,2,FALSE)</f>
        <v>43.65394247362287</v>
      </c>
      <c r="S72" s="40"/>
      <c r="AB72" s="119">
        <f>AB70 * KPLtoMPL</f>
        <v>43.136823529411764</v>
      </c>
      <c r="AC72" s="119">
        <f>AC70 * KPLtoMPL</f>
        <v>43.136823529411764</v>
      </c>
      <c r="AD72" t="s">
        <v>176</v>
      </c>
    </row>
    <row r="73" spans="2:30" x14ac:dyDescent="0.3">
      <c r="C73" s="160" t="s">
        <v>160</v>
      </c>
      <c r="D73" s="161"/>
    </row>
    <row r="74" spans="2:30" ht="15" thickBot="1" x14ac:dyDescent="0.35">
      <c r="C74" s="94">
        <v>35000</v>
      </c>
      <c r="D74" s="95" t="s">
        <v>15</v>
      </c>
    </row>
    <row r="76" spans="2:30" x14ac:dyDescent="0.3">
      <c r="C76" s="36" t="s">
        <v>171</v>
      </c>
    </row>
    <row r="77" spans="2:30" x14ac:dyDescent="0.3">
      <c r="C77" t="s">
        <v>175</v>
      </c>
    </row>
    <row r="78" spans="2:30" x14ac:dyDescent="0.3">
      <c r="C78" t="s">
        <v>181</v>
      </c>
    </row>
  </sheetData>
  <sheetProtection sheet="1" objects="1" scenarios="1"/>
  <protectedRanges>
    <protectedRange sqref="AM37:AO37" name="MiVSpeedVehicles"/>
    <protectedRange sqref="AL36:AL37" name="MiVSpeedEndpoints"/>
    <protectedRange sqref="D32:F32 H32 J32:L32 D44:F44 H44 J44:L44 D59:F59 H59 J59:L59 D70:F70 H70 J70:L70 D74" name="Units"/>
    <protectedRange sqref="D34:E34 G34 I34:J34 D46:E46 G46 I46:J46 I48:J48 D61:E61 G61 I61:J61 D72:E72 G72 I72:J72 C74 C50" name="AltData"/>
    <protectedRange sqref="C33 C45 C47 C60 C71" name="Vehicles"/>
  </protectedRanges>
  <mergeCells count="10">
    <mergeCell ref="AM36:AO36"/>
    <mergeCell ref="C73:D73"/>
    <mergeCell ref="D66:H66"/>
    <mergeCell ref="I66:J66"/>
    <mergeCell ref="D28:H28"/>
    <mergeCell ref="I28:J28"/>
    <mergeCell ref="D40:H40"/>
    <mergeCell ref="I40:J40"/>
    <mergeCell ref="D55:H55"/>
    <mergeCell ref="I55:J55"/>
  </mergeCells>
  <dataValidations count="10">
    <dataValidation type="list" allowBlank="1" showInputMessage="1" showErrorMessage="1" sqref="F32 H32 F44 H44 F59 H59 F70 H70">
      <formula1>Powers</formula1>
    </dataValidation>
    <dataValidation type="list" allowBlank="1" showInputMessage="1" showErrorMessage="1" sqref="C45">
      <formula1>Locomotives</formula1>
    </dataValidation>
    <dataValidation type="list" allowBlank="1" showInputMessage="1" showErrorMessage="1" sqref="C47">
      <formula1>Railcars</formula1>
    </dataValidation>
    <dataValidation type="list" allowBlank="1" showInputMessage="1" showErrorMessage="1" sqref="C33 AI37 AM37:AO37">
      <formula1>RoadVehicles</formula1>
    </dataValidation>
    <dataValidation type="list" allowBlank="1" showInputMessage="1" showErrorMessage="1" sqref="C60">
      <formula1>Ships</formula1>
    </dataValidation>
    <dataValidation type="list" allowBlank="1" showInputMessage="1" showErrorMessage="1" sqref="C71">
      <formula1>Aircraft</formula1>
    </dataValidation>
    <dataValidation type="list" allowBlank="1" showInputMessage="1" showErrorMessage="1" sqref="D74">
      <formula1>Altitudes</formula1>
    </dataValidation>
    <dataValidation type="list" allowBlank="1" showInputMessage="1" showErrorMessage="1" sqref="D32 K32 D44 K44 D59 K59 D70 K70">
      <formula1>Speeds</formula1>
    </dataValidation>
    <dataValidation type="list" allowBlank="1" showInputMessage="1" showErrorMessage="1" sqref="E32 L32 L44 E44 E59 L59">
      <formula1>DistperVol</formula1>
    </dataValidation>
    <dataValidation type="list" allowBlank="1" showInputMessage="1" showErrorMessage="1" sqref="J44 J59 J70 J32">
      <formula1>Areas</formula1>
    </dataValidation>
  </dataValidations>
  <hyperlinks>
    <hyperlink ref="D8" r:id="rId1"/>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data!$D$32:$D$34</xm:f>
          </x14:formula1>
          <xm:sqref>L70 E70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03"/>
  <sheetViews>
    <sheetView zoomScale="75" zoomScaleNormal="75" workbookViewId="0"/>
  </sheetViews>
  <sheetFormatPr defaultRowHeight="14.4" x14ac:dyDescent="0.3"/>
  <cols>
    <col min="3" max="3" width="10.109375" customWidth="1"/>
    <col min="4" max="4" width="9.77734375" bestFit="1" customWidth="1"/>
    <col min="6" max="6" width="8.88671875" customWidth="1"/>
    <col min="7" max="7" width="10.88671875" customWidth="1"/>
    <col min="8" max="8" width="18.21875" bestFit="1" customWidth="1"/>
    <col min="9" max="9" width="12.5546875" customWidth="1"/>
    <col min="14" max="14" width="11.77734375" bestFit="1" customWidth="1"/>
  </cols>
  <sheetData>
    <row r="1" spans="2:15" ht="15" thickBot="1" x14ac:dyDescent="0.35"/>
    <row r="2" spans="2:15" x14ac:dyDescent="0.3">
      <c r="H2" s="81" t="s">
        <v>104</v>
      </c>
      <c r="I2" s="76"/>
      <c r="J2" s="76"/>
      <c r="K2" s="76"/>
      <c r="L2" s="76"/>
      <c r="M2" s="76"/>
      <c r="N2" s="82"/>
    </row>
    <row r="3" spans="2:15" x14ac:dyDescent="0.3">
      <c r="H3" s="16" t="s">
        <v>105</v>
      </c>
      <c r="I3" s="5"/>
      <c r="J3" s="5"/>
      <c r="K3" s="5"/>
      <c r="L3" s="5"/>
      <c r="M3" s="5"/>
      <c r="N3" s="17"/>
    </row>
    <row r="4" spans="2:15" x14ac:dyDescent="0.3">
      <c r="H4" s="16" t="s">
        <v>84</v>
      </c>
      <c r="I4" s="5"/>
      <c r="J4" s="5"/>
      <c r="K4" s="5"/>
      <c r="L4" s="5"/>
      <c r="M4" s="5"/>
      <c r="N4" s="17"/>
    </row>
    <row r="5" spans="2:15" x14ac:dyDescent="0.3">
      <c r="H5" s="16" t="s">
        <v>31</v>
      </c>
      <c r="I5" s="5"/>
      <c r="J5" s="5"/>
      <c r="K5" s="5"/>
      <c r="L5" s="5"/>
      <c r="M5" s="5"/>
      <c r="N5" s="17"/>
    </row>
    <row r="6" spans="2:15" x14ac:dyDescent="0.3">
      <c r="H6" s="156" t="s">
        <v>295</v>
      </c>
      <c r="I6" s="5"/>
      <c r="J6" s="5"/>
      <c r="K6" s="5"/>
      <c r="L6" s="5"/>
      <c r="M6" s="5"/>
      <c r="N6" s="17"/>
      <c r="O6" s="125" t="s">
        <v>296</v>
      </c>
    </row>
    <row r="7" spans="2:15" x14ac:dyDescent="0.3">
      <c r="H7" s="16"/>
      <c r="I7" s="5"/>
      <c r="J7" s="5"/>
      <c r="K7" s="5"/>
      <c r="L7" s="5"/>
      <c r="M7" s="5"/>
      <c r="N7" s="17"/>
    </row>
    <row r="8" spans="2:15" ht="15" thickBot="1" x14ac:dyDescent="0.35">
      <c r="H8" s="16"/>
      <c r="I8" s="5"/>
      <c r="J8" s="5"/>
      <c r="K8" s="5"/>
      <c r="L8" s="5"/>
      <c r="M8" s="5"/>
      <c r="N8" s="17"/>
    </row>
    <row r="9" spans="2:15" x14ac:dyDescent="0.3">
      <c r="C9" s="81" t="s">
        <v>222</v>
      </c>
      <c r="D9" s="76"/>
      <c r="E9" s="76"/>
      <c r="F9" s="11" t="s">
        <v>79</v>
      </c>
      <c r="H9" s="16"/>
      <c r="I9" s="12" t="s">
        <v>74</v>
      </c>
      <c r="J9" s="12" t="s">
        <v>36</v>
      </c>
      <c r="K9" s="12" t="s">
        <v>38</v>
      </c>
      <c r="L9" s="12" t="s">
        <v>46</v>
      </c>
      <c r="M9" s="12" t="s">
        <v>47</v>
      </c>
      <c r="N9" s="13" t="s">
        <v>76</v>
      </c>
    </row>
    <row r="10" spans="2:15" x14ac:dyDescent="0.3">
      <c r="C10" s="83" t="s">
        <v>138</v>
      </c>
      <c r="D10" s="14" t="s">
        <v>137</v>
      </c>
      <c r="E10" s="77" t="s">
        <v>2</v>
      </c>
      <c r="F10" s="78" t="s">
        <v>80</v>
      </c>
      <c r="H10" s="16"/>
      <c r="I10" s="77" t="s">
        <v>73</v>
      </c>
      <c r="J10" s="77" t="s">
        <v>51</v>
      </c>
      <c r="K10" s="14"/>
      <c r="L10" s="14"/>
      <c r="M10" s="14" t="s">
        <v>53</v>
      </c>
      <c r="N10" s="17"/>
    </row>
    <row r="11" spans="2:15" x14ac:dyDescent="0.3">
      <c r="C11" s="79" t="s">
        <v>65</v>
      </c>
      <c r="D11" s="5" t="s">
        <v>55</v>
      </c>
      <c r="E11" s="5">
        <v>45.4</v>
      </c>
      <c r="F11" s="17">
        <v>0.83199999999999996</v>
      </c>
      <c r="H11" s="16"/>
      <c r="I11" s="5"/>
      <c r="J11" s="5"/>
      <c r="K11" s="5"/>
      <c r="L11" s="5"/>
      <c r="M11" s="5"/>
      <c r="N11" s="17"/>
    </row>
    <row r="12" spans="2:15" x14ac:dyDescent="0.3">
      <c r="C12" s="79" t="s">
        <v>66</v>
      </c>
      <c r="D12" s="5" t="s">
        <v>56</v>
      </c>
      <c r="E12" s="5">
        <v>42.4</v>
      </c>
      <c r="F12" s="17">
        <v>0.75</v>
      </c>
      <c r="H12" s="16" t="s">
        <v>69</v>
      </c>
      <c r="I12" s="5"/>
      <c r="J12" s="5"/>
      <c r="K12" s="5"/>
      <c r="L12" s="5"/>
      <c r="M12" s="5"/>
      <c r="N12" s="17"/>
    </row>
    <row r="13" spans="2:15" x14ac:dyDescent="0.3">
      <c r="C13" s="79" t="s">
        <v>65</v>
      </c>
      <c r="D13" s="5" t="s">
        <v>54</v>
      </c>
      <c r="E13" s="5">
        <v>43.8</v>
      </c>
      <c r="F13" s="17">
        <v>0.82</v>
      </c>
      <c r="H13" s="16" t="s">
        <v>85</v>
      </c>
      <c r="I13" s="5">
        <f>55/$E$41</f>
        <v>88.513947384090983</v>
      </c>
      <c r="J13" s="5">
        <f>15/$E$33</f>
        <v>6.3771563204591137</v>
      </c>
      <c r="K13" s="5">
        <v>0.25</v>
      </c>
      <c r="L13" s="5">
        <v>0.52</v>
      </c>
      <c r="M13" s="5">
        <f>35.1*$E$21</f>
        <v>3.2608953000000001</v>
      </c>
      <c r="N13" s="17" t="s">
        <v>56</v>
      </c>
    </row>
    <row r="14" spans="2:15" ht="15" thickBot="1" x14ac:dyDescent="0.35">
      <c r="C14" s="80" t="s">
        <v>143</v>
      </c>
      <c r="D14" s="19" t="s">
        <v>142</v>
      </c>
      <c r="E14" s="19">
        <v>48</v>
      </c>
      <c r="F14" s="20">
        <v>0.9</v>
      </c>
      <c r="H14" s="16" t="s">
        <v>129</v>
      </c>
      <c r="I14" s="5">
        <f t="shared" ref="I14:I20" si="0">55/$E$41</f>
        <v>88.513947384090983</v>
      </c>
      <c r="J14" s="5">
        <f>37/$E$33</f>
        <v>15.730318923799148</v>
      </c>
      <c r="K14" s="5">
        <v>0.25</v>
      </c>
      <c r="L14" s="5">
        <v>0.27</v>
      </c>
      <c r="M14" s="5">
        <f>29.413*$E$21</f>
        <v>2.732555939</v>
      </c>
      <c r="N14" s="17" t="s">
        <v>56</v>
      </c>
      <c r="O14" t="s">
        <v>130</v>
      </c>
    </row>
    <row r="15" spans="2:15" x14ac:dyDescent="0.3">
      <c r="B15" t="s">
        <v>67</v>
      </c>
      <c r="H15" s="16" t="s">
        <v>127</v>
      </c>
      <c r="I15" s="5">
        <f t="shared" si="0"/>
        <v>88.513947384090983</v>
      </c>
      <c r="J15" s="5">
        <f>26/$E$33</f>
        <v>11.05373762212913</v>
      </c>
      <c r="K15" s="5">
        <v>0.25</v>
      </c>
      <c r="L15" s="5">
        <v>0.36</v>
      </c>
      <c r="M15" s="5">
        <f>31.5*$E$21</f>
        <v>2.9264445000000001</v>
      </c>
      <c r="N15" s="17" t="s">
        <v>56</v>
      </c>
    </row>
    <row r="16" spans="2:15" x14ac:dyDescent="0.3">
      <c r="B16" t="s">
        <v>68</v>
      </c>
      <c r="H16" s="16" t="s">
        <v>87</v>
      </c>
      <c r="I16" s="5">
        <f t="shared" si="0"/>
        <v>88.513947384090983</v>
      </c>
      <c r="J16" s="5">
        <f>24/$E$33</f>
        <v>10.203450112734583</v>
      </c>
      <c r="K16" s="5">
        <v>0.25</v>
      </c>
      <c r="L16" s="5">
        <v>0.41199999999999998</v>
      </c>
      <c r="M16" s="5">
        <f>34.3*$E$21</f>
        <v>3.1865728999999998</v>
      </c>
      <c r="N16" s="17" t="s">
        <v>56</v>
      </c>
    </row>
    <row r="17" spans="2:14" x14ac:dyDescent="0.3">
      <c r="B17" s="7" t="s">
        <v>144</v>
      </c>
      <c r="H17" s="16" t="s">
        <v>86</v>
      </c>
      <c r="I17" s="5">
        <f t="shared" si="0"/>
        <v>88.513947384090983</v>
      </c>
      <c r="J17" s="5">
        <f>47/$E$33</f>
        <v>19.981756470771892</v>
      </c>
      <c r="K17" s="5">
        <v>0.25</v>
      </c>
      <c r="L17" s="5">
        <v>0.27</v>
      </c>
      <c r="M17" s="5">
        <f>21.9*$E$21</f>
        <v>2.0345757</v>
      </c>
      <c r="N17" s="17" t="s">
        <v>56</v>
      </c>
    </row>
    <row r="18" spans="2:14" ht="15" thickBot="1" x14ac:dyDescent="0.35">
      <c r="H18" s="16" t="s">
        <v>125</v>
      </c>
      <c r="I18" s="5">
        <f t="shared" si="0"/>
        <v>88.513947384090983</v>
      </c>
      <c r="J18" s="5">
        <f>27/$E$33</f>
        <v>11.478881376826406</v>
      </c>
      <c r="K18" s="5">
        <v>0.25</v>
      </c>
      <c r="L18" s="5">
        <v>0.42</v>
      </c>
      <c r="M18" s="5">
        <f>25.94*$E$21</f>
        <v>2.4099038200000003</v>
      </c>
      <c r="N18" s="17" t="s">
        <v>56</v>
      </c>
    </row>
    <row r="19" spans="2:14" x14ac:dyDescent="0.3">
      <c r="C19" s="154" t="s">
        <v>57</v>
      </c>
      <c r="D19" s="90"/>
      <c r="E19" s="91"/>
      <c r="H19" s="16" t="s">
        <v>128</v>
      </c>
      <c r="I19" s="5">
        <f t="shared" si="0"/>
        <v>88.513947384090983</v>
      </c>
      <c r="J19" s="5">
        <f>35/$E$33</f>
        <v>14.8800314144046</v>
      </c>
      <c r="K19" s="5">
        <v>0.25</v>
      </c>
      <c r="L19" s="5">
        <v>0.31</v>
      </c>
      <c r="M19" s="5">
        <f>22.06*$E$21</f>
        <v>2.0494401799999999</v>
      </c>
      <c r="N19" s="17" t="s">
        <v>56</v>
      </c>
    </row>
    <row r="20" spans="2:14" x14ac:dyDescent="0.3">
      <c r="C20" s="16" t="s">
        <v>297</v>
      </c>
      <c r="D20" s="5" t="s">
        <v>53</v>
      </c>
      <c r="E20" s="17">
        <v>1</v>
      </c>
      <c r="H20" s="16" t="s">
        <v>83</v>
      </c>
      <c r="I20" s="5">
        <f t="shared" si="0"/>
        <v>88.513947384090983</v>
      </c>
      <c r="J20" s="5">
        <f>48/$E$33</f>
        <v>20.406900225469165</v>
      </c>
      <c r="K20" s="5">
        <v>0.25</v>
      </c>
      <c r="L20" s="5">
        <v>0.28999999999999998</v>
      </c>
      <c r="M20" s="5">
        <f>0.576/0.29</f>
        <v>1.9862068965517241</v>
      </c>
      <c r="N20" s="17" t="s">
        <v>56</v>
      </c>
    </row>
    <row r="21" spans="2:14" x14ac:dyDescent="0.3">
      <c r="C21" s="16"/>
      <c r="D21" s="5" t="s">
        <v>13</v>
      </c>
      <c r="E21" s="17">
        <v>9.2902999999999999E-2</v>
      </c>
      <c r="H21" s="16" t="s">
        <v>45</v>
      </c>
      <c r="I21" s="5">
        <f>55/$E$41</f>
        <v>88.513947384090983</v>
      </c>
      <c r="J21" s="5">
        <f>8/$E$33</f>
        <v>3.4011500375781942</v>
      </c>
      <c r="K21" s="5">
        <v>0.35</v>
      </c>
      <c r="L21" s="5">
        <v>0.65</v>
      </c>
      <c r="M21" s="5">
        <v>10.5</v>
      </c>
      <c r="N21" s="17" t="s">
        <v>55</v>
      </c>
    </row>
    <row r="22" spans="2:14" x14ac:dyDescent="0.3">
      <c r="C22" s="16"/>
      <c r="D22" s="5"/>
      <c r="E22" s="17"/>
      <c r="H22" s="16"/>
      <c r="I22" s="5"/>
      <c r="J22" s="5"/>
      <c r="K22" s="5"/>
      <c r="L22" s="5"/>
      <c r="M22" s="5"/>
      <c r="N22" s="17"/>
    </row>
    <row r="23" spans="2:14" x14ac:dyDescent="0.3">
      <c r="C23" s="155"/>
      <c r="D23" s="89"/>
      <c r="E23" s="88"/>
      <c r="H23" s="16"/>
      <c r="I23" s="5"/>
      <c r="J23" s="5"/>
      <c r="K23" s="5"/>
      <c r="L23" s="5"/>
      <c r="M23" s="5"/>
      <c r="N23" s="17"/>
    </row>
    <row r="24" spans="2:14" x14ac:dyDescent="0.3">
      <c r="C24" s="16" t="s">
        <v>298</v>
      </c>
      <c r="D24" s="5" t="s">
        <v>49</v>
      </c>
      <c r="E24" s="17">
        <v>1</v>
      </c>
      <c r="H24" s="16"/>
      <c r="I24" s="5"/>
      <c r="J24" s="5"/>
      <c r="K24" s="5"/>
      <c r="L24" s="5"/>
      <c r="M24" s="5"/>
      <c r="N24" s="17"/>
    </row>
    <row r="25" spans="2:14" x14ac:dyDescent="0.3">
      <c r="C25" s="16"/>
      <c r="D25" s="5" t="s">
        <v>48</v>
      </c>
      <c r="E25" s="17">
        <v>0.62137100000000001</v>
      </c>
      <c r="H25" s="16"/>
      <c r="I25" s="5"/>
      <c r="J25" s="5"/>
      <c r="K25" s="5"/>
      <c r="L25" s="5"/>
      <c r="M25" s="5"/>
      <c r="N25" s="17"/>
    </row>
    <row r="26" spans="2:14" x14ac:dyDescent="0.3">
      <c r="C26" s="16"/>
      <c r="D26" s="84" t="s">
        <v>139</v>
      </c>
      <c r="E26" s="17">
        <v>0.53995680300000004</v>
      </c>
      <c r="H26" s="16"/>
      <c r="I26" s="5"/>
      <c r="J26" s="5"/>
      <c r="K26" s="5"/>
      <c r="L26" s="5"/>
      <c r="M26" s="5"/>
      <c r="N26" s="17"/>
    </row>
    <row r="27" spans="2:14" x14ac:dyDescent="0.3">
      <c r="C27" s="155"/>
      <c r="D27" s="87" t="s">
        <v>15</v>
      </c>
      <c r="E27" s="88">
        <f>5280*E25</f>
        <v>3280.8388800000002</v>
      </c>
      <c r="H27" s="16"/>
      <c r="I27" s="5"/>
      <c r="J27" s="5"/>
      <c r="K27" s="5"/>
      <c r="L27" s="5"/>
      <c r="M27" s="5"/>
      <c r="N27" s="17"/>
    </row>
    <row r="28" spans="2:14" x14ac:dyDescent="0.3">
      <c r="C28" s="16" t="s">
        <v>299</v>
      </c>
      <c r="D28" s="5" t="s">
        <v>50</v>
      </c>
      <c r="E28" s="17">
        <v>1</v>
      </c>
      <c r="H28" s="16"/>
      <c r="I28" s="5"/>
      <c r="J28" s="5"/>
      <c r="K28" s="5"/>
      <c r="L28" s="5"/>
      <c r="M28" s="5"/>
      <c r="N28" s="17"/>
    </row>
    <row r="29" spans="2:14" x14ac:dyDescent="0.3">
      <c r="C29" s="16"/>
      <c r="D29" s="5" t="s">
        <v>18</v>
      </c>
      <c r="E29" s="17">
        <v>0.26417200000000002</v>
      </c>
      <c r="H29" s="16"/>
      <c r="I29" s="5"/>
      <c r="J29" s="5"/>
      <c r="K29" s="5"/>
      <c r="L29" s="5"/>
      <c r="M29" s="5"/>
      <c r="N29" s="17"/>
    </row>
    <row r="30" spans="2:14" x14ac:dyDescent="0.3">
      <c r="C30" s="16"/>
      <c r="D30" s="5"/>
      <c r="E30" s="17"/>
      <c r="H30" s="16"/>
      <c r="I30" s="5"/>
      <c r="J30" s="5"/>
      <c r="K30" s="5"/>
      <c r="L30" s="5"/>
      <c r="M30" s="5"/>
      <c r="N30" s="17"/>
    </row>
    <row r="31" spans="2:14" x14ac:dyDescent="0.3">
      <c r="C31" s="155"/>
      <c r="D31" s="89"/>
      <c r="E31" s="88"/>
      <c r="H31" s="16"/>
      <c r="I31" s="5"/>
      <c r="J31" s="5"/>
      <c r="K31" s="5"/>
      <c r="L31" s="5"/>
      <c r="M31" s="5"/>
      <c r="N31" s="17"/>
    </row>
    <row r="32" spans="2:14" ht="15" thickBot="1" x14ac:dyDescent="0.35">
      <c r="C32" s="16" t="s">
        <v>300</v>
      </c>
      <c r="D32" s="5" t="s">
        <v>51</v>
      </c>
      <c r="E32" s="17">
        <v>1</v>
      </c>
      <c r="H32" s="18"/>
      <c r="I32" s="19"/>
      <c r="J32" s="19"/>
      <c r="K32" s="19"/>
      <c r="L32" s="19"/>
      <c r="M32" s="19"/>
      <c r="N32" s="20"/>
    </row>
    <row r="33" spans="3:16" ht="15" thickBot="1" x14ac:dyDescent="0.35">
      <c r="C33" s="16"/>
      <c r="D33" s="5" t="s">
        <v>52</v>
      </c>
      <c r="E33" s="17">
        <f>E25/E29</f>
        <v>2.3521455718244173</v>
      </c>
    </row>
    <row r="34" spans="3:16" x14ac:dyDescent="0.3">
      <c r="C34" s="16"/>
      <c r="D34" s="84" t="s">
        <v>176</v>
      </c>
      <c r="E34" s="17">
        <v>1000</v>
      </c>
      <c r="H34" s="81" t="s">
        <v>106</v>
      </c>
      <c r="I34" s="76"/>
      <c r="J34" s="76"/>
      <c r="K34" s="76"/>
      <c r="L34" s="76"/>
      <c r="M34" s="76"/>
      <c r="N34" s="82"/>
    </row>
    <row r="35" spans="3:16" x14ac:dyDescent="0.3">
      <c r="C35" s="155"/>
      <c r="D35" s="89"/>
      <c r="E35" s="88"/>
      <c r="H35" s="16" t="s">
        <v>105</v>
      </c>
      <c r="I35" s="5"/>
      <c r="J35" s="5"/>
      <c r="K35" s="5"/>
      <c r="L35" s="5"/>
      <c r="M35" s="5"/>
      <c r="N35" s="17"/>
    </row>
    <row r="36" spans="3:16" x14ac:dyDescent="0.3">
      <c r="C36" s="16" t="s">
        <v>301</v>
      </c>
      <c r="D36" s="5" t="s">
        <v>78</v>
      </c>
      <c r="E36" s="17">
        <v>1</v>
      </c>
      <c r="H36" s="3" t="s">
        <v>8</v>
      </c>
      <c r="I36" s="5"/>
      <c r="J36" s="5"/>
      <c r="K36" s="5"/>
      <c r="L36" s="5"/>
      <c r="M36" s="5"/>
      <c r="N36" s="17"/>
      <c r="P36" t="s">
        <v>277</v>
      </c>
    </row>
    <row r="37" spans="3:16" x14ac:dyDescent="0.3">
      <c r="C37" s="16"/>
      <c r="D37" s="5" t="s">
        <v>3</v>
      </c>
      <c r="E37" s="17">
        <v>0.74569987199999999</v>
      </c>
      <c r="H37" s="16" t="s">
        <v>123</v>
      </c>
      <c r="I37" s="5"/>
      <c r="J37" s="5"/>
      <c r="K37" s="5"/>
      <c r="L37" s="5"/>
      <c r="M37" s="5"/>
      <c r="N37" s="17"/>
    </row>
    <row r="38" spans="3:16" x14ac:dyDescent="0.3">
      <c r="C38" s="16"/>
      <c r="D38" s="5"/>
      <c r="E38" s="17"/>
      <c r="H38" s="16" t="s">
        <v>124</v>
      </c>
      <c r="I38" s="5"/>
      <c r="J38" s="5"/>
      <c r="K38" s="5"/>
      <c r="L38" s="5"/>
      <c r="M38" s="5"/>
      <c r="N38" s="17"/>
    </row>
    <row r="39" spans="3:16" x14ac:dyDescent="0.3">
      <c r="C39" s="155"/>
      <c r="D39" s="89"/>
      <c r="E39" s="88"/>
      <c r="H39" s="16"/>
      <c r="I39" s="5"/>
      <c r="J39" s="5"/>
      <c r="K39" s="5"/>
      <c r="L39" s="5"/>
      <c r="M39" s="5"/>
      <c r="N39" s="17"/>
    </row>
    <row r="40" spans="3:16" x14ac:dyDescent="0.3">
      <c r="C40" s="16" t="s">
        <v>302</v>
      </c>
      <c r="D40" s="5" t="s">
        <v>73</v>
      </c>
      <c r="E40" s="17">
        <v>1</v>
      </c>
      <c r="H40" s="16"/>
      <c r="I40" s="5"/>
      <c r="J40" s="5"/>
      <c r="K40" s="5"/>
      <c r="L40" s="5"/>
      <c r="M40" s="5"/>
      <c r="N40" s="17"/>
    </row>
    <row r="41" spans="3:16" x14ac:dyDescent="0.3">
      <c r="C41" s="16"/>
      <c r="D41" s="5" t="s">
        <v>5</v>
      </c>
      <c r="E41" s="17">
        <f>E25</f>
        <v>0.62137100000000001</v>
      </c>
      <c r="H41" s="16"/>
      <c r="I41" s="12" t="s">
        <v>74</v>
      </c>
      <c r="J41" s="12" t="s">
        <v>36</v>
      </c>
      <c r="K41" s="12" t="s">
        <v>38</v>
      </c>
      <c r="L41" s="12" t="s">
        <v>46</v>
      </c>
      <c r="M41" s="12" t="s">
        <v>47</v>
      </c>
      <c r="N41" s="13" t="s">
        <v>76</v>
      </c>
    </row>
    <row r="42" spans="3:16" x14ac:dyDescent="0.3">
      <c r="C42" s="16"/>
      <c r="D42" s="5" t="s">
        <v>17</v>
      </c>
      <c r="E42" s="17">
        <f>E40/3.6</f>
        <v>0.27777777777777779</v>
      </c>
      <c r="H42" s="16"/>
      <c r="I42" s="77" t="s">
        <v>73</v>
      </c>
      <c r="J42" s="77" t="s">
        <v>51</v>
      </c>
      <c r="K42" s="14"/>
      <c r="L42" s="14"/>
      <c r="M42" s="14" t="s">
        <v>53</v>
      </c>
      <c r="N42" s="17"/>
    </row>
    <row r="43" spans="3:16" x14ac:dyDescent="0.3">
      <c r="C43" s="16"/>
      <c r="D43" s="5" t="s">
        <v>134</v>
      </c>
      <c r="E43" s="17">
        <v>0.53995680300000004</v>
      </c>
      <c r="H43" s="16"/>
      <c r="I43" s="5"/>
      <c r="J43" s="5"/>
      <c r="K43" s="5"/>
      <c r="L43" s="5"/>
      <c r="M43" s="5"/>
      <c r="N43" s="17"/>
    </row>
    <row r="44" spans="3:16" x14ac:dyDescent="0.3">
      <c r="C44" s="16"/>
      <c r="D44" s="5"/>
      <c r="E44" s="17"/>
      <c r="H44" s="16" t="s">
        <v>107</v>
      </c>
      <c r="I44" s="5"/>
      <c r="J44" s="5"/>
      <c r="K44" s="5"/>
      <c r="L44" s="5"/>
      <c r="M44" s="5"/>
      <c r="N44" s="17"/>
    </row>
    <row r="45" spans="3:16" x14ac:dyDescent="0.3">
      <c r="C45" s="155"/>
      <c r="D45" s="89"/>
      <c r="E45" s="88"/>
      <c r="H45" s="16" t="s">
        <v>113</v>
      </c>
      <c r="I45" s="5">
        <f t="shared" ref="I45" si="1">45/$E$41</f>
        <v>72.420502405165351</v>
      </c>
      <c r="J45" s="5">
        <f>0.41/$E$33</f>
        <v>0.17430893942588244</v>
      </c>
      <c r="K45" s="5">
        <v>0.38</v>
      </c>
      <c r="L45" s="5">
        <v>0.6</v>
      </c>
      <c r="M45" s="5">
        <f>160*$E$21</f>
        <v>14.86448</v>
      </c>
      <c r="N45" s="17" t="s">
        <v>55</v>
      </c>
    </row>
    <row r="46" spans="3:16" x14ac:dyDescent="0.3">
      <c r="C46" s="16" t="s">
        <v>303</v>
      </c>
      <c r="D46" s="84" t="s">
        <v>162</v>
      </c>
      <c r="E46" s="17"/>
      <c r="H46" s="16" t="s">
        <v>114</v>
      </c>
      <c r="I46" s="5">
        <f>45/$E$41</f>
        <v>72.420502405165351</v>
      </c>
      <c r="J46" s="5">
        <f>1/ 2.795/$E$33</f>
        <v>0.15210867788811244</v>
      </c>
      <c r="K46" s="5">
        <v>0.38</v>
      </c>
      <c r="L46" s="5">
        <v>0.6</v>
      </c>
      <c r="M46" s="5">
        <f t="shared" ref="M46:M47" si="2">160*$E$21</f>
        <v>14.86448</v>
      </c>
      <c r="N46" s="17" t="s">
        <v>55</v>
      </c>
      <c r="O46" t="s">
        <v>6</v>
      </c>
    </row>
    <row r="47" spans="3:16" x14ac:dyDescent="0.3">
      <c r="C47" s="16"/>
      <c r="D47" s="84" t="s">
        <v>15</v>
      </c>
      <c r="E47" s="17"/>
      <c r="H47" s="16" t="s">
        <v>115</v>
      </c>
      <c r="I47" s="5">
        <f t="shared" ref="I47" si="3">45/$E$41</f>
        <v>72.420502405165351</v>
      </c>
      <c r="J47" s="5">
        <f>0.41/$E$33</f>
        <v>0.17430893942588244</v>
      </c>
      <c r="K47" s="5">
        <v>0.38</v>
      </c>
      <c r="L47" s="5">
        <v>0.6</v>
      </c>
      <c r="M47" s="5">
        <f t="shared" si="2"/>
        <v>14.86448</v>
      </c>
      <c r="N47" s="17" t="s">
        <v>55</v>
      </c>
      <c r="O47" t="s">
        <v>9</v>
      </c>
    </row>
    <row r="48" spans="3:16" ht="15" thickBot="1" x14ac:dyDescent="0.35">
      <c r="C48" s="18"/>
      <c r="D48" s="19"/>
      <c r="E48" s="20"/>
      <c r="H48" s="16"/>
      <c r="I48" s="5"/>
      <c r="J48" s="5"/>
      <c r="K48" s="5"/>
      <c r="L48" s="5"/>
      <c r="M48" s="5"/>
      <c r="N48" s="17"/>
    </row>
    <row r="49" spans="2:14" x14ac:dyDescent="0.3">
      <c r="H49" s="16"/>
      <c r="I49" s="5"/>
      <c r="J49" s="5"/>
      <c r="K49" s="5"/>
      <c r="L49" s="5"/>
      <c r="M49" s="5"/>
      <c r="N49" s="17"/>
    </row>
    <row r="50" spans="2:14" ht="15" thickBot="1" x14ac:dyDescent="0.35">
      <c r="H50" s="16"/>
      <c r="I50" s="5"/>
      <c r="J50" s="5"/>
      <c r="K50" s="5"/>
      <c r="L50" s="5"/>
      <c r="M50" s="5"/>
      <c r="N50" s="17"/>
    </row>
    <row r="51" spans="2:14" x14ac:dyDescent="0.3">
      <c r="B51" s="75" t="s">
        <v>159</v>
      </c>
      <c r="C51" s="76"/>
      <c r="D51" s="76"/>
      <c r="E51" s="76"/>
      <c r="F51" s="82"/>
      <c r="H51" s="16" t="s">
        <v>108</v>
      </c>
      <c r="I51" s="5"/>
      <c r="J51" s="5"/>
      <c r="K51" s="5"/>
      <c r="L51" s="5"/>
      <c r="M51" s="5"/>
      <c r="N51" s="17"/>
    </row>
    <row r="52" spans="2:14" x14ac:dyDescent="0.3">
      <c r="B52" s="16" t="s">
        <v>150</v>
      </c>
      <c r="C52" s="5"/>
      <c r="D52" s="5"/>
      <c r="E52" s="5"/>
      <c r="F52" s="17"/>
      <c r="H52" s="16" t="s">
        <v>112</v>
      </c>
      <c r="I52" s="5"/>
      <c r="J52" s="5"/>
      <c r="K52" s="5"/>
      <c r="L52" s="84">
        <v>0.7</v>
      </c>
      <c r="M52" s="84">
        <f>140*$E$21</f>
        <v>13.00642</v>
      </c>
      <c r="N52" s="17"/>
    </row>
    <row r="53" spans="2:14" x14ac:dyDescent="0.3">
      <c r="B53" s="92" t="s">
        <v>153</v>
      </c>
      <c r="C53" s="12" t="s">
        <v>153</v>
      </c>
      <c r="D53" s="12" t="s">
        <v>158</v>
      </c>
      <c r="E53" s="12" t="s">
        <v>152</v>
      </c>
      <c r="F53" s="13" t="s">
        <v>151</v>
      </c>
      <c r="H53" s="16" t="s">
        <v>110</v>
      </c>
      <c r="I53" s="5"/>
      <c r="J53" s="5"/>
      <c r="K53" s="5"/>
      <c r="L53" s="84">
        <v>0.7</v>
      </c>
      <c r="M53" s="84">
        <f t="shared" ref="M53" si="4">120*$E$21</f>
        <v>11.14836</v>
      </c>
      <c r="N53" s="17"/>
    </row>
    <row r="54" spans="2:14" x14ac:dyDescent="0.3">
      <c r="B54" s="93" t="s">
        <v>157</v>
      </c>
      <c r="C54" s="14" t="s">
        <v>161</v>
      </c>
      <c r="D54" s="14" t="s">
        <v>156</v>
      </c>
      <c r="E54" s="14" t="s">
        <v>155</v>
      </c>
      <c r="F54" s="15" t="s">
        <v>154</v>
      </c>
      <c r="H54" s="16" t="s">
        <v>111</v>
      </c>
      <c r="I54" s="5"/>
      <c r="J54" s="5"/>
      <c r="K54" s="5"/>
      <c r="L54" s="84">
        <f>92/120</f>
        <v>0.76666666666666672</v>
      </c>
      <c r="M54" s="84">
        <f>160*$E$21</f>
        <v>14.86448</v>
      </c>
      <c r="N54" s="17"/>
    </row>
    <row r="55" spans="2:14" x14ac:dyDescent="0.3">
      <c r="B55" s="16">
        <v>0</v>
      </c>
      <c r="C55" s="5">
        <v>0</v>
      </c>
      <c r="D55" s="5">
        <v>15</v>
      </c>
      <c r="E55" s="5">
        <v>1013</v>
      </c>
      <c r="F55" s="17">
        <v>1.2</v>
      </c>
      <c r="H55" s="16" t="s">
        <v>7</v>
      </c>
      <c r="I55" s="5"/>
      <c r="J55" s="5"/>
      <c r="K55" s="5"/>
      <c r="L55" s="84">
        <v>0.8</v>
      </c>
      <c r="M55" s="84">
        <f>125*$E$21</f>
        <v>11.612875000000001</v>
      </c>
      <c r="N55" s="17"/>
    </row>
    <row r="56" spans="2:14" x14ac:dyDescent="0.3">
      <c r="B56" s="16">
        <v>1000</v>
      </c>
      <c r="C56" s="5">
        <f>INT(B56*3.28/1000)*1000</f>
        <v>3000</v>
      </c>
      <c r="D56" s="5">
        <v>8.5</v>
      </c>
      <c r="E56" s="5">
        <v>900</v>
      </c>
      <c r="F56" s="17">
        <v>1.1000000000000001</v>
      </c>
      <c r="H56" s="16"/>
      <c r="I56" s="5"/>
      <c r="J56" s="5"/>
      <c r="K56" s="5"/>
      <c r="L56" s="5"/>
      <c r="M56" s="5"/>
      <c r="N56" s="17"/>
    </row>
    <row r="57" spans="2:14" x14ac:dyDescent="0.3">
      <c r="B57" s="16">
        <v>2000</v>
      </c>
      <c r="C57" s="5">
        <f t="shared" ref="C57:C90" si="5">INT(B57*3.28/1000)*1000</f>
        <v>6000</v>
      </c>
      <c r="D57" s="5">
        <v>2</v>
      </c>
      <c r="E57" s="5">
        <v>800</v>
      </c>
      <c r="F57" s="17">
        <v>1</v>
      </c>
      <c r="H57" s="16"/>
      <c r="I57" s="5"/>
      <c r="J57" s="5"/>
      <c r="K57" s="5"/>
      <c r="L57" s="5"/>
      <c r="M57" s="5"/>
      <c r="N57" s="17"/>
    </row>
    <row r="58" spans="2:14" x14ac:dyDescent="0.3">
      <c r="B58" s="16">
        <v>3000</v>
      </c>
      <c r="C58" s="5">
        <f t="shared" si="5"/>
        <v>9000</v>
      </c>
      <c r="D58" s="5">
        <v>-4.5</v>
      </c>
      <c r="E58" s="5">
        <v>700</v>
      </c>
      <c r="F58" s="17">
        <v>0.91</v>
      </c>
      <c r="H58" s="16"/>
      <c r="I58" s="5"/>
      <c r="J58" s="5"/>
      <c r="K58" s="5"/>
      <c r="L58" s="5"/>
      <c r="M58" s="5"/>
      <c r="N58" s="17"/>
    </row>
    <row r="59" spans="2:14" x14ac:dyDescent="0.3">
      <c r="B59" s="16">
        <v>4000</v>
      </c>
      <c r="C59" s="5">
        <f t="shared" si="5"/>
        <v>13000</v>
      </c>
      <c r="D59" s="5">
        <v>-11</v>
      </c>
      <c r="E59" s="5">
        <v>620</v>
      </c>
      <c r="F59" s="17">
        <v>0.82</v>
      </c>
      <c r="H59" s="16"/>
      <c r="I59" s="5"/>
      <c r="J59" s="5"/>
      <c r="K59" s="5"/>
      <c r="L59" s="5"/>
      <c r="M59" s="5"/>
      <c r="N59" s="17"/>
    </row>
    <row r="60" spans="2:14" ht="15" thickBot="1" x14ac:dyDescent="0.35">
      <c r="B60" s="16">
        <v>5000</v>
      </c>
      <c r="C60" s="5">
        <f t="shared" si="5"/>
        <v>16000</v>
      </c>
      <c r="D60" s="5">
        <v>-17.5</v>
      </c>
      <c r="E60" s="5">
        <v>540</v>
      </c>
      <c r="F60" s="17">
        <v>0.74</v>
      </c>
      <c r="H60" s="18"/>
      <c r="I60" s="19"/>
      <c r="J60" s="19"/>
      <c r="K60" s="19"/>
      <c r="L60" s="19"/>
      <c r="M60" s="19"/>
      <c r="N60" s="20"/>
    </row>
    <row r="61" spans="2:14" x14ac:dyDescent="0.3">
      <c r="B61" s="16">
        <v>6000</v>
      </c>
      <c r="C61" s="5">
        <f t="shared" si="5"/>
        <v>19000</v>
      </c>
      <c r="D61" s="5">
        <v>-24</v>
      </c>
      <c r="E61" s="5">
        <v>470</v>
      </c>
      <c r="F61" s="17">
        <v>0.66</v>
      </c>
    </row>
    <row r="62" spans="2:14" ht="15" thickBot="1" x14ac:dyDescent="0.35">
      <c r="B62" s="16">
        <v>7000</v>
      </c>
      <c r="C62" s="5">
        <f t="shared" si="5"/>
        <v>22000</v>
      </c>
      <c r="D62" s="5">
        <v>-30.5</v>
      </c>
      <c r="E62" s="5">
        <v>410</v>
      </c>
      <c r="F62" s="17">
        <v>0.59</v>
      </c>
    </row>
    <row r="63" spans="2:14" x14ac:dyDescent="0.3">
      <c r="B63" s="16">
        <v>8000</v>
      </c>
      <c r="C63" s="5">
        <f t="shared" si="5"/>
        <v>26000</v>
      </c>
      <c r="D63" s="5">
        <v>-37</v>
      </c>
      <c r="E63" s="5">
        <v>360</v>
      </c>
      <c r="F63" s="17">
        <v>0.53</v>
      </c>
      <c r="H63" s="81" t="s">
        <v>131</v>
      </c>
      <c r="I63" s="76"/>
      <c r="J63" s="76"/>
      <c r="K63" s="76"/>
      <c r="L63" s="76"/>
      <c r="M63" s="76"/>
      <c r="N63" s="82"/>
    </row>
    <row r="64" spans="2:14" x14ac:dyDescent="0.3">
      <c r="B64" s="16">
        <v>9000</v>
      </c>
      <c r="C64" s="5">
        <f t="shared" si="5"/>
        <v>29000</v>
      </c>
      <c r="D64" s="5">
        <v>-43.5</v>
      </c>
      <c r="E64" s="5">
        <v>310</v>
      </c>
      <c r="F64" s="17">
        <v>0.47</v>
      </c>
      <c r="H64" s="16" t="s">
        <v>105</v>
      </c>
      <c r="I64" s="5"/>
      <c r="J64" s="5"/>
      <c r="K64" s="5"/>
      <c r="L64" s="5"/>
      <c r="M64" s="5"/>
      <c r="N64" s="17"/>
    </row>
    <row r="65" spans="2:16" x14ac:dyDescent="0.3">
      <c r="B65" s="16">
        <v>10000</v>
      </c>
      <c r="C65" s="5">
        <f t="shared" si="5"/>
        <v>32000</v>
      </c>
      <c r="D65" s="5">
        <v>-50</v>
      </c>
      <c r="E65" s="5">
        <v>260</v>
      </c>
      <c r="F65" s="17">
        <v>0.41</v>
      </c>
      <c r="H65" s="3" t="s">
        <v>141</v>
      </c>
      <c r="I65" s="5"/>
      <c r="J65" s="5"/>
      <c r="K65" s="5"/>
      <c r="L65" s="5"/>
      <c r="M65" s="5"/>
      <c r="N65" s="17"/>
    </row>
    <row r="66" spans="2:16" x14ac:dyDescent="0.3">
      <c r="B66" s="16">
        <v>11000</v>
      </c>
      <c r="C66" s="5">
        <f t="shared" si="5"/>
        <v>36000</v>
      </c>
      <c r="D66" s="5">
        <v>-56.5</v>
      </c>
      <c r="E66" s="5">
        <v>230</v>
      </c>
      <c r="F66" s="17">
        <v>0.36</v>
      </c>
      <c r="H66" s="16" t="s">
        <v>140</v>
      </c>
      <c r="I66" s="5"/>
      <c r="J66" s="5"/>
      <c r="K66" s="5"/>
      <c r="L66" s="5"/>
      <c r="M66" s="5"/>
      <c r="N66" s="17"/>
    </row>
    <row r="67" spans="2:16" x14ac:dyDescent="0.3">
      <c r="B67" s="16">
        <v>12000</v>
      </c>
      <c r="C67" s="5">
        <f t="shared" si="5"/>
        <v>39000</v>
      </c>
      <c r="D67" s="5">
        <v>-56.5</v>
      </c>
      <c r="E67" s="5">
        <v>190</v>
      </c>
      <c r="F67" s="17">
        <v>0.31</v>
      </c>
      <c r="H67" s="16"/>
      <c r="I67" s="5"/>
      <c r="J67" s="5"/>
      <c r="K67" s="5"/>
      <c r="L67" s="5"/>
      <c r="M67" s="5"/>
      <c r="N67" s="17"/>
    </row>
    <row r="68" spans="2:16" x14ac:dyDescent="0.3">
      <c r="B68" s="16">
        <v>13000</v>
      </c>
      <c r="C68" s="5">
        <f t="shared" si="5"/>
        <v>42000</v>
      </c>
      <c r="D68" s="5">
        <v>-56.5</v>
      </c>
      <c r="E68" s="5">
        <v>170</v>
      </c>
      <c r="F68" s="17">
        <v>0.27</v>
      </c>
      <c r="H68" s="16"/>
      <c r="I68" s="5"/>
      <c r="J68" s="5"/>
      <c r="K68" s="5"/>
      <c r="L68" s="5"/>
      <c r="M68" s="5"/>
      <c r="N68" s="17"/>
    </row>
    <row r="69" spans="2:16" x14ac:dyDescent="0.3">
      <c r="B69" s="16">
        <v>14000</v>
      </c>
      <c r="C69" s="5">
        <f t="shared" si="5"/>
        <v>45000</v>
      </c>
      <c r="D69" s="5">
        <v>-56.5</v>
      </c>
      <c r="E69" s="5">
        <v>140</v>
      </c>
      <c r="F69" s="17">
        <v>0.23</v>
      </c>
      <c r="H69" s="16"/>
      <c r="I69" s="5"/>
      <c r="J69" s="5"/>
      <c r="K69" s="5"/>
      <c r="L69" s="5"/>
      <c r="M69" s="5"/>
      <c r="N69" s="17"/>
    </row>
    <row r="70" spans="2:16" x14ac:dyDescent="0.3">
      <c r="B70" s="16">
        <v>15000</v>
      </c>
      <c r="C70" s="5">
        <f t="shared" si="5"/>
        <v>49000</v>
      </c>
      <c r="D70" s="5">
        <v>-56.5</v>
      </c>
      <c r="E70" s="5">
        <v>120</v>
      </c>
      <c r="F70" s="17">
        <v>0.19</v>
      </c>
      <c r="H70" s="16"/>
      <c r="I70" s="12" t="s">
        <v>74</v>
      </c>
      <c r="J70" s="12" t="s">
        <v>36</v>
      </c>
      <c r="K70" s="12" t="s">
        <v>38</v>
      </c>
      <c r="L70" s="12" t="s">
        <v>46</v>
      </c>
      <c r="M70" s="12" t="s">
        <v>47</v>
      </c>
      <c r="N70" s="13" t="s">
        <v>76</v>
      </c>
    </row>
    <row r="71" spans="2:16" x14ac:dyDescent="0.3">
      <c r="B71" s="16">
        <v>16000</v>
      </c>
      <c r="C71" s="5">
        <f t="shared" si="5"/>
        <v>52000</v>
      </c>
      <c r="D71" s="5">
        <v>-56.5</v>
      </c>
      <c r="E71" s="5">
        <v>100</v>
      </c>
      <c r="F71" s="17">
        <v>0.17</v>
      </c>
      <c r="H71" s="16"/>
      <c r="I71" s="77" t="s">
        <v>73</v>
      </c>
      <c r="J71" s="77" t="s">
        <v>51</v>
      </c>
      <c r="K71" s="14"/>
      <c r="L71" s="14"/>
      <c r="M71" s="14" t="s">
        <v>53</v>
      </c>
      <c r="N71" s="17"/>
    </row>
    <row r="72" spans="2:16" x14ac:dyDescent="0.3">
      <c r="B72" s="16">
        <v>17000</v>
      </c>
      <c r="C72" s="5">
        <f t="shared" si="5"/>
        <v>55000</v>
      </c>
      <c r="D72" s="5">
        <v>-56.5</v>
      </c>
      <c r="E72" s="5">
        <v>90</v>
      </c>
      <c r="F72" s="17">
        <v>0.14000000000000001</v>
      </c>
      <c r="H72" s="16"/>
      <c r="I72" s="5"/>
      <c r="J72" s="5"/>
      <c r="K72" s="5"/>
      <c r="L72" s="5"/>
      <c r="M72" s="5"/>
      <c r="N72" s="17"/>
    </row>
    <row r="73" spans="2:16" x14ac:dyDescent="0.3">
      <c r="B73" s="16">
        <v>18000</v>
      </c>
      <c r="C73" s="5">
        <f t="shared" si="5"/>
        <v>59000</v>
      </c>
      <c r="D73" s="5">
        <v>-56.5</v>
      </c>
      <c r="E73" s="5">
        <v>75</v>
      </c>
      <c r="F73" s="17">
        <v>0.12</v>
      </c>
      <c r="H73" s="16" t="s">
        <v>132</v>
      </c>
      <c r="I73" s="5"/>
      <c r="J73" s="5"/>
      <c r="K73" s="5"/>
      <c r="L73" s="5"/>
      <c r="M73" s="5"/>
      <c r="N73" s="17"/>
    </row>
    <row r="74" spans="2:16" x14ac:dyDescent="0.3">
      <c r="B74" s="16">
        <v>19000</v>
      </c>
      <c r="C74" s="5">
        <f t="shared" si="5"/>
        <v>62000</v>
      </c>
      <c r="D74" s="5">
        <v>-56.5</v>
      </c>
      <c r="E74" s="5">
        <v>65</v>
      </c>
      <c r="F74" s="17">
        <v>0.1</v>
      </c>
      <c r="H74" s="16" t="s">
        <v>133</v>
      </c>
      <c r="I74" s="5">
        <f xml:space="preserve"> 25.5/$E$43</f>
        <v>47.226000039858739</v>
      </c>
      <c r="J74">
        <v>7.5155342665840742E-3</v>
      </c>
      <c r="K74" s="5">
        <v>0.4</v>
      </c>
      <c r="L74" s="5">
        <v>2.7000000000000001E-3</v>
      </c>
      <c r="M74" s="5">
        <v>23559.255062068965</v>
      </c>
      <c r="N74" s="17" t="s">
        <v>142</v>
      </c>
      <c r="O74" t="s">
        <v>177</v>
      </c>
    </row>
    <row r="75" spans="2:16" x14ac:dyDescent="0.3">
      <c r="B75" s="16">
        <v>20000</v>
      </c>
      <c r="C75" s="5">
        <f t="shared" si="5"/>
        <v>65000</v>
      </c>
      <c r="D75" s="5">
        <v>-56.5</v>
      </c>
      <c r="E75" s="5">
        <v>55</v>
      </c>
      <c r="F75" s="17">
        <v>8.7999999999999995E-2</v>
      </c>
      <c r="H75" s="16"/>
      <c r="I75" s="5"/>
      <c r="J75" s="5"/>
      <c r="K75" s="5"/>
      <c r="L75" s="5"/>
      <c r="M75" s="5"/>
      <c r="N75" s="17"/>
      <c r="P75" t="s">
        <v>178</v>
      </c>
    </row>
    <row r="76" spans="2:16" x14ac:dyDescent="0.3">
      <c r="B76" s="16">
        <v>21000</v>
      </c>
      <c r="C76" s="5">
        <f t="shared" si="5"/>
        <v>68000</v>
      </c>
      <c r="D76" s="5">
        <v>-55.5</v>
      </c>
      <c r="E76" s="5">
        <v>47</v>
      </c>
      <c r="F76" s="17">
        <v>7.4999999999999997E-2</v>
      </c>
      <c r="H76" s="16"/>
      <c r="I76" s="5"/>
      <c r="J76" s="5"/>
      <c r="K76" s="5"/>
      <c r="L76" s="5"/>
      <c r="M76" s="5"/>
      <c r="N76" s="17"/>
    </row>
    <row r="77" spans="2:16" x14ac:dyDescent="0.3">
      <c r="B77" s="16">
        <v>22000</v>
      </c>
      <c r="C77" s="5">
        <f t="shared" si="5"/>
        <v>72000</v>
      </c>
      <c r="D77" s="5">
        <v>-54.5</v>
      </c>
      <c r="E77" s="5">
        <v>40</v>
      </c>
      <c r="F77" s="17">
        <v>6.4000000000000001E-2</v>
      </c>
      <c r="H77" s="16"/>
      <c r="I77" s="5"/>
      <c r="J77" s="5"/>
      <c r="K77" s="5"/>
      <c r="L77" s="5"/>
      <c r="M77" s="5"/>
      <c r="N77" s="17"/>
    </row>
    <row r="78" spans="2:16" x14ac:dyDescent="0.3">
      <c r="B78" s="16">
        <v>23000</v>
      </c>
      <c r="C78" s="5">
        <f t="shared" si="5"/>
        <v>75000</v>
      </c>
      <c r="D78" s="5">
        <v>-53.5</v>
      </c>
      <c r="E78" s="5">
        <v>34</v>
      </c>
      <c r="F78" s="17">
        <v>5.3999999999999999E-2</v>
      </c>
      <c r="H78" s="16"/>
      <c r="I78" s="5"/>
      <c r="J78" s="5"/>
      <c r="K78" s="5"/>
      <c r="L78" s="5"/>
      <c r="M78" s="5"/>
      <c r="N78" s="17"/>
    </row>
    <row r="79" spans="2:16" x14ac:dyDescent="0.3">
      <c r="B79" s="16">
        <v>24000</v>
      </c>
      <c r="C79" s="5">
        <f t="shared" si="5"/>
        <v>78000</v>
      </c>
      <c r="D79" s="5">
        <v>-52.5</v>
      </c>
      <c r="E79" s="5">
        <v>29</v>
      </c>
      <c r="F79" s="17">
        <v>4.5999999999999999E-2</v>
      </c>
      <c r="H79" s="16"/>
      <c r="I79" s="5"/>
      <c r="J79" s="5"/>
      <c r="K79" s="5"/>
      <c r="L79" s="5"/>
      <c r="M79" s="5"/>
      <c r="N79" s="17"/>
    </row>
    <row r="80" spans="2:16" x14ac:dyDescent="0.3">
      <c r="B80" s="16">
        <v>25000</v>
      </c>
      <c r="C80" s="5">
        <f t="shared" si="5"/>
        <v>82000</v>
      </c>
      <c r="D80" s="5">
        <v>-51.5</v>
      </c>
      <c r="E80" s="5">
        <v>25</v>
      </c>
      <c r="F80" s="17">
        <v>3.9E-2</v>
      </c>
      <c r="H80" s="16"/>
      <c r="I80" s="5"/>
      <c r="J80" s="5"/>
      <c r="K80" s="5"/>
      <c r="L80" s="5"/>
      <c r="M80" s="5"/>
      <c r="N80" s="17"/>
    </row>
    <row r="81" spans="2:15" ht="15" thickBot="1" x14ac:dyDescent="0.35">
      <c r="B81" s="16">
        <v>26000</v>
      </c>
      <c r="C81" s="5">
        <f t="shared" si="5"/>
        <v>85000</v>
      </c>
      <c r="D81" s="5">
        <v>-50.5</v>
      </c>
      <c r="E81" s="5">
        <v>22</v>
      </c>
      <c r="F81" s="17">
        <v>3.4000000000000002E-2</v>
      </c>
      <c r="H81" s="18"/>
      <c r="I81" s="19"/>
      <c r="J81" s="19"/>
      <c r="K81" s="19"/>
      <c r="L81" s="85"/>
      <c r="M81" s="85"/>
      <c r="N81" s="20"/>
    </row>
    <row r="82" spans="2:15" x14ac:dyDescent="0.3">
      <c r="B82" s="16">
        <v>27000</v>
      </c>
      <c r="C82" s="5">
        <f t="shared" si="5"/>
        <v>88000</v>
      </c>
      <c r="D82" s="5">
        <v>-49.5</v>
      </c>
      <c r="E82" s="5">
        <v>18</v>
      </c>
      <c r="F82" s="17">
        <v>2.9000000000000001E-2</v>
      </c>
      <c r="L82" s="36"/>
      <c r="M82" s="36"/>
    </row>
    <row r="83" spans="2:15" x14ac:dyDescent="0.3">
      <c r="B83" s="16">
        <v>28000</v>
      </c>
      <c r="C83" s="5">
        <f t="shared" si="5"/>
        <v>91000</v>
      </c>
      <c r="D83" s="5">
        <v>-48.5</v>
      </c>
      <c r="E83" s="5">
        <v>16</v>
      </c>
      <c r="F83" s="17">
        <v>2.5000000000000001E-2</v>
      </c>
      <c r="L83" s="36"/>
      <c r="M83" s="36"/>
    </row>
    <row r="84" spans="2:15" ht="15" thickBot="1" x14ac:dyDescent="0.35">
      <c r="B84" s="16">
        <v>29000</v>
      </c>
      <c r="C84" s="5">
        <f t="shared" si="5"/>
        <v>95000</v>
      </c>
      <c r="D84" s="5">
        <v>-47.5</v>
      </c>
      <c r="E84" s="5">
        <v>14</v>
      </c>
      <c r="F84" s="17">
        <v>2.1000000000000001E-2</v>
      </c>
      <c r="L84" s="36"/>
      <c r="M84" s="36"/>
    </row>
    <row r="85" spans="2:15" x14ac:dyDescent="0.3">
      <c r="B85" s="16">
        <v>30000</v>
      </c>
      <c r="C85" s="5">
        <f t="shared" si="5"/>
        <v>98000</v>
      </c>
      <c r="D85" s="5">
        <v>-46.5</v>
      </c>
      <c r="E85" s="5">
        <v>12</v>
      </c>
      <c r="F85" s="17">
        <v>1.7999999999999999E-2</v>
      </c>
      <c r="H85" s="81" t="s">
        <v>146</v>
      </c>
      <c r="I85" s="76"/>
      <c r="J85" s="76"/>
      <c r="K85" s="76"/>
      <c r="L85" s="76"/>
      <c r="M85" s="76"/>
      <c r="N85" s="82"/>
    </row>
    <row r="86" spans="2:15" x14ac:dyDescent="0.3">
      <c r="B86" s="16">
        <v>31000</v>
      </c>
      <c r="C86" s="5">
        <f t="shared" si="5"/>
        <v>101000</v>
      </c>
      <c r="D86" s="5">
        <v>-45.5</v>
      </c>
      <c r="E86" s="5">
        <v>10</v>
      </c>
      <c r="F86" s="17">
        <v>1.4999999999999999E-2</v>
      </c>
      <c r="H86" s="16" t="s">
        <v>105</v>
      </c>
      <c r="I86" s="5"/>
      <c r="J86" s="5"/>
      <c r="K86" s="5"/>
      <c r="L86" s="5"/>
      <c r="M86" s="5"/>
      <c r="N86" s="17"/>
    </row>
    <row r="87" spans="2:15" x14ac:dyDescent="0.3">
      <c r="B87" s="16">
        <v>32000</v>
      </c>
      <c r="C87" s="5">
        <f t="shared" si="5"/>
        <v>104000</v>
      </c>
      <c r="D87" s="5">
        <v>-44.5</v>
      </c>
      <c r="E87" s="5">
        <v>8</v>
      </c>
      <c r="F87" s="17">
        <v>1.2999999999999999E-2</v>
      </c>
      <c r="H87" s="16" t="s">
        <v>19</v>
      </c>
      <c r="I87" s="5"/>
      <c r="J87" s="5"/>
      <c r="K87" s="5"/>
      <c r="L87" s="5"/>
      <c r="M87" s="5"/>
      <c r="N87" s="17"/>
    </row>
    <row r="88" spans="2:15" x14ac:dyDescent="0.3">
      <c r="B88" s="16">
        <v>33000</v>
      </c>
      <c r="C88" s="5">
        <f t="shared" si="5"/>
        <v>108000</v>
      </c>
      <c r="D88" s="5">
        <v>-41.7</v>
      </c>
      <c r="E88" s="5">
        <v>7</v>
      </c>
      <c r="F88" s="17">
        <v>1.0999999999999999E-2</v>
      </c>
      <c r="H88" s="16" t="s">
        <v>14</v>
      </c>
      <c r="I88" s="5"/>
      <c r="J88" s="5"/>
      <c r="K88" s="5"/>
      <c r="L88" s="5"/>
      <c r="M88" s="5"/>
      <c r="N88" s="17"/>
    </row>
    <row r="89" spans="2:15" x14ac:dyDescent="0.3">
      <c r="B89" s="16">
        <v>34000</v>
      </c>
      <c r="C89" s="5">
        <f t="shared" si="5"/>
        <v>111000</v>
      </c>
      <c r="D89" s="5">
        <v>-38.9</v>
      </c>
      <c r="E89" s="5">
        <v>6</v>
      </c>
      <c r="F89" s="17">
        <v>9.5999999999999992E-3</v>
      </c>
      <c r="H89" s="16" t="s">
        <v>1</v>
      </c>
      <c r="I89" s="5"/>
      <c r="J89" s="5"/>
      <c r="K89" s="5"/>
      <c r="L89" s="5"/>
      <c r="M89" s="5"/>
      <c r="N89" s="17"/>
    </row>
    <row r="90" spans="2:15" ht="15" thickBot="1" x14ac:dyDescent="0.35">
      <c r="B90" s="18">
        <v>35000</v>
      </c>
      <c r="C90" s="19">
        <f t="shared" si="5"/>
        <v>114000</v>
      </c>
      <c r="D90" s="19">
        <v>-36.1</v>
      </c>
      <c r="E90" s="19">
        <v>5</v>
      </c>
      <c r="F90" s="20">
        <v>8.2000000000000007E-3</v>
      </c>
      <c r="H90" s="16"/>
      <c r="I90" s="5"/>
      <c r="J90" s="5"/>
      <c r="K90" s="5"/>
      <c r="L90" s="5"/>
      <c r="M90" s="5"/>
      <c r="N90" s="17"/>
    </row>
    <row r="91" spans="2:15" x14ac:dyDescent="0.3">
      <c r="H91" s="16"/>
      <c r="I91" s="5"/>
      <c r="J91" s="5"/>
      <c r="K91" s="5"/>
      <c r="L91" s="5"/>
      <c r="M91" s="5"/>
      <c r="N91" s="17"/>
    </row>
    <row r="92" spans="2:15" x14ac:dyDescent="0.3">
      <c r="H92" s="16"/>
      <c r="I92" s="12" t="s">
        <v>74</v>
      </c>
      <c r="J92" s="12" t="s">
        <v>36</v>
      </c>
      <c r="K92" s="12" t="s">
        <v>38</v>
      </c>
      <c r="L92" s="12" t="s">
        <v>46</v>
      </c>
      <c r="M92" s="12" t="s">
        <v>47</v>
      </c>
      <c r="N92" s="13" t="s">
        <v>76</v>
      </c>
    </row>
    <row r="93" spans="2:15" x14ac:dyDescent="0.3">
      <c r="H93" s="16"/>
      <c r="I93" s="77" t="s">
        <v>73</v>
      </c>
      <c r="J93" s="77" t="s">
        <v>51</v>
      </c>
      <c r="K93" s="14"/>
      <c r="L93" s="14"/>
      <c r="M93" s="14" t="s">
        <v>53</v>
      </c>
      <c r="N93" s="17"/>
    </row>
    <row r="94" spans="2:15" x14ac:dyDescent="0.3">
      <c r="H94" s="16"/>
      <c r="I94" s="5"/>
      <c r="J94" s="5"/>
      <c r="K94" s="5"/>
      <c r="L94" s="5"/>
      <c r="M94" s="5"/>
      <c r="N94" s="17"/>
    </row>
    <row r="95" spans="2:15" x14ac:dyDescent="0.3">
      <c r="H95" s="16" t="s">
        <v>147</v>
      </c>
      <c r="I95" s="5"/>
      <c r="J95" s="5"/>
      <c r="K95" s="5"/>
      <c r="L95" s="5"/>
      <c r="M95" s="5"/>
      <c r="N95" s="17"/>
    </row>
    <row r="96" spans="2:15" x14ac:dyDescent="0.3">
      <c r="H96" s="16" t="s">
        <v>12</v>
      </c>
      <c r="I96" s="5">
        <f xml:space="preserve"> 580/$E$41</f>
        <v>933.41980877768674</v>
      </c>
      <c r="J96" s="1">
        <v>4.3136823529411762E-2</v>
      </c>
      <c r="K96" s="5">
        <v>0.25</v>
      </c>
      <c r="L96" s="5">
        <v>3.1E-2</v>
      </c>
      <c r="M96" s="5">
        <f xml:space="preserve"> 5650 * $E$21</f>
        <v>524.90194999999994</v>
      </c>
      <c r="N96" s="17" t="s">
        <v>54</v>
      </c>
      <c r="O96" s="1" t="s">
        <v>231</v>
      </c>
    </row>
    <row r="97" spans="8:16" x14ac:dyDescent="0.3">
      <c r="H97" s="16"/>
      <c r="I97" s="5"/>
      <c r="J97" s="5"/>
      <c r="K97" s="5"/>
      <c r="L97" s="5"/>
      <c r="M97" s="5"/>
      <c r="N97" s="17"/>
      <c r="P97" t="s">
        <v>230</v>
      </c>
    </row>
    <row r="98" spans="8:16" x14ac:dyDescent="0.3">
      <c r="H98" s="16"/>
      <c r="I98" s="5"/>
      <c r="J98" s="5"/>
      <c r="K98" s="5"/>
      <c r="L98" s="5"/>
      <c r="M98" s="5"/>
      <c r="N98" s="17"/>
      <c r="O98" t="s">
        <v>232</v>
      </c>
    </row>
    <row r="99" spans="8:16" x14ac:dyDescent="0.3">
      <c r="H99" s="16"/>
      <c r="I99" s="5"/>
      <c r="J99" s="5"/>
      <c r="K99" s="5"/>
      <c r="L99" s="5"/>
      <c r="M99" s="5"/>
      <c r="N99" s="17"/>
      <c r="P99" t="s">
        <v>16</v>
      </c>
    </row>
    <row r="100" spans="8:16" x14ac:dyDescent="0.3">
      <c r="H100" s="16"/>
      <c r="I100" s="5"/>
      <c r="J100" s="5"/>
      <c r="K100" s="5"/>
      <c r="L100" s="5"/>
      <c r="M100" s="5"/>
      <c r="N100" s="17"/>
    </row>
    <row r="101" spans="8:16" x14ac:dyDescent="0.3">
      <c r="H101" s="16"/>
      <c r="I101" s="5"/>
      <c r="J101" s="5"/>
      <c r="K101" s="5"/>
      <c r="L101" s="5"/>
      <c r="M101" s="5"/>
      <c r="N101" s="17"/>
    </row>
    <row r="102" spans="8:16" x14ac:dyDescent="0.3">
      <c r="H102" s="16"/>
      <c r="I102" s="5"/>
      <c r="J102" s="5"/>
      <c r="K102" s="5"/>
      <c r="L102" s="5"/>
      <c r="M102" s="5"/>
      <c r="N102" s="17"/>
    </row>
    <row r="103" spans="8:16" ht="15" thickBot="1" x14ac:dyDescent="0.35">
      <c r="H103" s="18"/>
      <c r="I103" s="19"/>
      <c r="J103" s="19"/>
      <c r="K103" s="19"/>
      <c r="L103" s="85"/>
      <c r="M103" s="85"/>
      <c r="N103" s="20"/>
    </row>
  </sheetData>
  <sortState ref="H5:N7">
    <sortCondition ref="H5:H7"/>
  </sortState>
  <hyperlinks>
    <hyperlink ref="H6" r:id="rId1"/>
  </hyperlinks>
  <pageMargins left="0.7" right="0.7" top="0.75" bottom="0.75" header="0.3" footer="0.3"/>
  <pageSetup orientation="portrait" r:id="rId2"/>
  <ignoredErrors>
    <ignoredError sqref="C11:C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H67"/>
  <sheetViews>
    <sheetView zoomScale="75" zoomScaleNormal="75" workbookViewId="0"/>
  </sheetViews>
  <sheetFormatPr defaultRowHeight="14.4" x14ac:dyDescent="0.3"/>
  <cols>
    <col min="1" max="1" width="2.33203125" customWidth="1"/>
    <col min="9" max="9" width="10.5546875" customWidth="1"/>
    <col min="10" max="10" width="7.21875" customWidth="1"/>
    <col min="12" max="12" width="8.88671875" customWidth="1"/>
    <col min="20" max="20" width="15.109375" customWidth="1"/>
    <col min="21" max="21" width="2" bestFit="1" customWidth="1"/>
    <col min="23" max="23" width="9.88671875" customWidth="1"/>
    <col min="24" max="24" width="8.33203125" customWidth="1"/>
    <col min="25" max="25" width="2" bestFit="1" customWidth="1"/>
    <col min="27" max="27" width="18.88671875" customWidth="1"/>
    <col min="28" max="28" width="2" customWidth="1"/>
    <col min="29" max="29" width="9.88671875" bestFit="1" customWidth="1"/>
  </cols>
  <sheetData>
    <row r="2" spans="2:26" x14ac:dyDescent="0.3">
      <c r="B2" t="s">
        <v>263</v>
      </c>
    </row>
    <row r="3" spans="2:26" x14ac:dyDescent="0.3">
      <c r="C3" s="4"/>
    </row>
    <row r="4" spans="2:26" x14ac:dyDescent="0.3">
      <c r="B4" t="s">
        <v>20</v>
      </c>
    </row>
    <row r="5" spans="2:26" x14ac:dyDescent="0.3">
      <c r="C5" t="s">
        <v>21</v>
      </c>
    </row>
    <row r="6" spans="2:26" x14ac:dyDescent="0.3">
      <c r="C6" t="s">
        <v>216</v>
      </c>
    </row>
    <row r="7" spans="2:26" x14ac:dyDescent="0.3">
      <c r="C7" t="s">
        <v>217</v>
      </c>
    </row>
    <row r="8" spans="2:26" x14ac:dyDescent="0.3">
      <c r="D8" t="s">
        <v>116</v>
      </c>
    </row>
    <row r="10" spans="2:26" x14ac:dyDescent="0.3">
      <c r="B10" t="s">
        <v>22</v>
      </c>
    </row>
    <row r="11" spans="2:26" x14ac:dyDescent="0.3">
      <c r="C11" t="s">
        <v>121</v>
      </c>
      <c r="T11" s="2" t="s">
        <v>214</v>
      </c>
      <c r="U11" s="7" t="s">
        <v>4</v>
      </c>
      <c r="V11" t="s">
        <v>220</v>
      </c>
    </row>
    <row r="12" spans="2:26" x14ac:dyDescent="0.3">
      <c r="C12" t="s">
        <v>30</v>
      </c>
      <c r="T12" s="2" t="s">
        <v>212</v>
      </c>
      <c r="U12" s="7" t="s">
        <v>4</v>
      </c>
      <c r="V12" t="s">
        <v>213</v>
      </c>
      <c r="Y12" s="7"/>
    </row>
    <row r="13" spans="2:26" x14ac:dyDescent="0.3">
      <c r="C13" t="s">
        <v>23</v>
      </c>
    </row>
    <row r="15" spans="2:26" x14ac:dyDescent="0.3">
      <c r="B15" t="s">
        <v>24</v>
      </c>
    </row>
    <row r="16" spans="2:26" x14ac:dyDescent="0.3">
      <c r="C16" t="s">
        <v>101</v>
      </c>
      <c r="T16" s="2" t="s">
        <v>190</v>
      </c>
      <c r="U16" s="7" t="s">
        <v>4</v>
      </c>
      <c r="V16" t="s">
        <v>183</v>
      </c>
      <c r="Y16" t="s">
        <v>184</v>
      </c>
      <c r="Z16" t="s">
        <v>185</v>
      </c>
    </row>
    <row r="17" spans="3:29" x14ac:dyDescent="0.3">
      <c r="C17" t="s">
        <v>264</v>
      </c>
      <c r="T17" s="2"/>
      <c r="U17" s="7" t="s">
        <v>4</v>
      </c>
      <c r="V17" t="s">
        <v>186</v>
      </c>
      <c r="Y17" t="s">
        <v>184</v>
      </c>
      <c r="Z17" t="s">
        <v>187</v>
      </c>
    </row>
    <row r="18" spans="3:29" x14ac:dyDescent="0.3">
      <c r="D18" t="s">
        <v>102</v>
      </c>
      <c r="T18" s="2"/>
      <c r="U18" s="7" t="s">
        <v>4</v>
      </c>
      <c r="V18" t="s">
        <v>188</v>
      </c>
      <c r="Y18" t="s">
        <v>184</v>
      </c>
      <c r="Z18" t="s">
        <v>189</v>
      </c>
    </row>
    <row r="19" spans="3:29" x14ac:dyDescent="0.3">
      <c r="D19" t="s">
        <v>103</v>
      </c>
      <c r="T19" s="2"/>
    </row>
    <row r="20" spans="3:29" x14ac:dyDescent="0.3">
      <c r="T20" s="2"/>
    </row>
    <row r="21" spans="3:29" x14ac:dyDescent="0.3">
      <c r="C21" t="s">
        <v>304</v>
      </c>
      <c r="T21" s="2" t="s">
        <v>191</v>
      </c>
      <c r="U21" s="7" t="s">
        <v>4</v>
      </c>
      <c r="V21" t="s">
        <v>192</v>
      </c>
      <c r="Y21" t="s">
        <v>184</v>
      </c>
      <c r="Z21" t="s">
        <v>193</v>
      </c>
    </row>
    <row r="22" spans="3:29" x14ac:dyDescent="0.3">
      <c r="D22" t="s">
        <v>305</v>
      </c>
      <c r="T22" s="2"/>
      <c r="U22" s="7" t="s">
        <v>4</v>
      </c>
      <c r="V22" t="s">
        <v>194</v>
      </c>
      <c r="Y22" t="s">
        <v>184</v>
      </c>
      <c r="Z22" t="s">
        <v>210</v>
      </c>
    </row>
    <row r="23" spans="3:29" x14ac:dyDescent="0.3">
      <c r="D23" t="s">
        <v>211</v>
      </c>
      <c r="T23" s="2"/>
      <c r="U23" s="7" t="s">
        <v>4</v>
      </c>
      <c r="V23" t="s">
        <v>194</v>
      </c>
      <c r="Y23" t="s">
        <v>184</v>
      </c>
      <c r="Z23" t="s">
        <v>207</v>
      </c>
    </row>
    <row r="24" spans="3:29" x14ac:dyDescent="0.3">
      <c r="D24" t="s">
        <v>259</v>
      </c>
      <c r="T24" s="2"/>
      <c r="U24" s="7" t="s">
        <v>4</v>
      </c>
      <c r="V24" t="s">
        <v>194</v>
      </c>
      <c r="Y24" t="s">
        <v>184</v>
      </c>
      <c r="Z24" t="s">
        <v>215</v>
      </c>
    </row>
    <row r="25" spans="3:29" x14ac:dyDescent="0.3">
      <c r="D25" t="s">
        <v>307</v>
      </c>
      <c r="T25" s="2"/>
    </row>
    <row r="26" spans="3:29" x14ac:dyDescent="0.3">
      <c r="T26" s="2"/>
    </row>
    <row r="27" spans="3:29" x14ac:dyDescent="0.3">
      <c r="C27" t="s">
        <v>100</v>
      </c>
      <c r="T27" s="2" t="s">
        <v>195</v>
      </c>
      <c r="U27" t="s">
        <v>4</v>
      </c>
      <c r="V27" t="s">
        <v>196</v>
      </c>
    </row>
    <row r="28" spans="3:29" x14ac:dyDescent="0.3">
      <c r="T28" s="2"/>
      <c r="U28" t="s">
        <v>4</v>
      </c>
      <c r="V28" t="s">
        <v>197</v>
      </c>
    </row>
    <row r="29" spans="3:29" x14ac:dyDescent="0.3">
      <c r="T29" s="2"/>
    </row>
    <row r="30" spans="3:29" x14ac:dyDescent="0.3">
      <c r="C30" t="s">
        <v>99</v>
      </c>
      <c r="T30" s="2" t="s">
        <v>190</v>
      </c>
      <c r="U30" s="7" t="s">
        <v>4</v>
      </c>
      <c r="V30" t="s">
        <v>204</v>
      </c>
      <c r="Y30" t="s">
        <v>184</v>
      </c>
      <c r="Z30" t="s">
        <v>208</v>
      </c>
      <c r="AB30" t="s">
        <v>184</v>
      </c>
      <c r="AC30" t="s">
        <v>209</v>
      </c>
    </row>
    <row r="31" spans="3:29" x14ac:dyDescent="0.3">
      <c r="C31" t="s">
        <v>118</v>
      </c>
      <c r="T31" s="2" t="s">
        <v>198</v>
      </c>
      <c r="U31" t="s">
        <v>4</v>
      </c>
      <c r="V31" t="s">
        <v>205</v>
      </c>
      <c r="Y31" t="s">
        <v>184</v>
      </c>
      <c r="Z31" t="s">
        <v>206</v>
      </c>
      <c r="AB31" t="s">
        <v>184</v>
      </c>
      <c r="AC31" s="104">
        <v>0</v>
      </c>
    </row>
    <row r="32" spans="3:29" x14ac:dyDescent="0.3">
      <c r="D32" t="s">
        <v>315</v>
      </c>
      <c r="U32" t="s">
        <v>4</v>
      </c>
      <c r="V32" s="104" t="s">
        <v>202</v>
      </c>
    </row>
    <row r="33" spans="3:34" ht="15" thickBot="1" x14ac:dyDescent="0.35">
      <c r="V33" s="104"/>
    </row>
    <row r="34" spans="3:34" ht="15" thickBot="1" x14ac:dyDescent="0.35">
      <c r="D34" s="105" t="s">
        <v>120</v>
      </c>
      <c r="E34" s="106"/>
      <c r="F34" s="107"/>
      <c r="T34" s="108" t="s">
        <v>199</v>
      </c>
      <c r="U34" s="106" t="s">
        <v>4</v>
      </c>
      <c r="V34" s="106" t="s">
        <v>203</v>
      </c>
      <c r="W34" s="107"/>
    </row>
    <row r="35" spans="3:34" x14ac:dyDescent="0.3">
      <c r="T35" s="6"/>
      <c r="U35" s="5"/>
      <c r="V35" s="5"/>
      <c r="W35" s="5"/>
    </row>
    <row r="36" spans="3:34" x14ac:dyDescent="0.3">
      <c r="C36" t="s">
        <v>119</v>
      </c>
      <c r="T36" s="6" t="s">
        <v>200</v>
      </c>
      <c r="U36" s="5" t="s">
        <v>4</v>
      </c>
      <c r="V36" s="5" t="s">
        <v>201</v>
      </c>
      <c r="W36" s="5"/>
      <c r="X36" s="5"/>
      <c r="Y36" s="5" t="s">
        <v>184</v>
      </c>
      <c r="Z36" s="5" t="s">
        <v>221</v>
      </c>
      <c r="AB36" t="s">
        <v>184</v>
      </c>
      <c r="AC36" t="s">
        <v>209</v>
      </c>
    </row>
    <row r="37" spans="3:34" x14ac:dyDescent="0.3">
      <c r="D37" t="s">
        <v>249</v>
      </c>
      <c r="S37" s="5"/>
      <c r="AA37" s="5"/>
    </row>
    <row r="38" spans="3:34" x14ac:dyDescent="0.3">
      <c r="D38" t="s">
        <v>266</v>
      </c>
      <c r="E38" s="5"/>
      <c r="F38" s="5"/>
      <c r="G38" s="5"/>
      <c r="H38" s="5"/>
      <c r="I38" s="5"/>
      <c r="J38" s="5"/>
      <c r="K38" s="5"/>
      <c r="L38" s="5"/>
      <c r="M38" s="5"/>
    </row>
    <row r="39" spans="3:34" x14ac:dyDescent="0.3">
      <c r="D39" t="s">
        <v>268</v>
      </c>
      <c r="E39" s="5"/>
      <c r="F39" s="5"/>
      <c r="G39" s="5"/>
      <c r="H39" s="5"/>
      <c r="I39" s="5"/>
      <c r="J39" s="5"/>
      <c r="K39" s="5"/>
      <c r="L39" s="5"/>
      <c r="M39" s="5"/>
    </row>
    <row r="40" spans="3:34" x14ac:dyDescent="0.3">
      <c r="D40" t="s">
        <v>267</v>
      </c>
      <c r="S40" s="2" t="s">
        <v>238</v>
      </c>
      <c r="T40" t="s">
        <v>209</v>
      </c>
      <c r="U40" s="5" t="s">
        <v>4</v>
      </c>
      <c r="V40" s="110" t="s">
        <v>242</v>
      </c>
      <c r="Y40" s="7" t="s">
        <v>240</v>
      </c>
      <c r="Z40" t="s">
        <v>243</v>
      </c>
      <c r="AB40" t="s">
        <v>184</v>
      </c>
      <c r="AC40" s="84" t="s">
        <v>239</v>
      </c>
    </row>
    <row r="41" spans="3:34" x14ac:dyDescent="0.3">
      <c r="D41" t="s">
        <v>269</v>
      </c>
    </row>
    <row r="42" spans="3:34" ht="15" thickBot="1" x14ac:dyDescent="0.35"/>
    <row r="43" spans="3:34" ht="15" thickBot="1" x14ac:dyDescent="0.35">
      <c r="D43" s="109" t="s">
        <v>252</v>
      </c>
      <c r="E43" s="106"/>
      <c r="F43" s="106"/>
      <c r="G43" s="106"/>
      <c r="H43" s="106"/>
      <c r="I43" s="106"/>
      <c r="J43" s="106"/>
      <c r="K43" s="106"/>
      <c r="L43" s="106"/>
      <c r="M43" s="107"/>
      <c r="S43" s="2" t="s">
        <v>241</v>
      </c>
      <c r="T43" s="114" t="s">
        <v>200</v>
      </c>
      <c r="U43" s="76" t="s">
        <v>4</v>
      </c>
      <c r="V43" s="76" t="s">
        <v>201</v>
      </c>
      <c r="W43" s="76"/>
      <c r="X43" s="76"/>
      <c r="Y43" s="76" t="s">
        <v>184</v>
      </c>
      <c r="Z43" s="76" t="s">
        <v>221</v>
      </c>
      <c r="AA43" s="76"/>
      <c r="AB43" s="76" t="s">
        <v>184</v>
      </c>
      <c r="AC43" s="115" t="s">
        <v>239</v>
      </c>
      <c r="AD43" s="82"/>
    </row>
    <row r="44" spans="3:34" ht="15" thickBot="1" x14ac:dyDescent="0.35">
      <c r="C44" t="s">
        <v>253</v>
      </c>
      <c r="T44" s="18"/>
      <c r="U44" s="116"/>
      <c r="V44" s="116" t="s">
        <v>242</v>
      </c>
      <c r="W44" s="19"/>
      <c r="X44" s="19"/>
      <c r="Y44" s="19"/>
      <c r="Z44" s="117" t="s">
        <v>244</v>
      </c>
      <c r="AA44" s="19"/>
      <c r="AB44" s="19"/>
      <c r="AC44" s="19"/>
      <c r="AD44" s="20"/>
    </row>
    <row r="45" spans="3:34" x14ac:dyDescent="0.3">
      <c r="C45" t="s">
        <v>258</v>
      </c>
    </row>
    <row r="46" spans="3:34" x14ac:dyDescent="0.3">
      <c r="D46" s="120" t="s">
        <v>251</v>
      </c>
      <c r="T46" s="2"/>
      <c r="U46" s="5"/>
      <c r="V46" s="84"/>
    </row>
    <row r="47" spans="3:34" ht="15" thickBot="1" x14ac:dyDescent="0.35">
      <c r="C47" t="s">
        <v>262</v>
      </c>
      <c r="T47" s="2" t="s">
        <v>250</v>
      </c>
      <c r="U47" s="110" t="s">
        <v>4</v>
      </c>
      <c r="V47" s="84" t="s">
        <v>223</v>
      </c>
    </row>
    <row r="48" spans="3:34" ht="15" thickBot="1" x14ac:dyDescent="0.35">
      <c r="D48" s="105" t="s">
        <v>255</v>
      </c>
      <c r="E48" s="106"/>
      <c r="F48" s="106"/>
      <c r="G48" s="106"/>
      <c r="H48" s="106"/>
      <c r="I48" s="106"/>
      <c r="J48" s="106"/>
      <c r="K48" s="106"/>
      <c r="L48" s="106"/>
      <c r="M48" s="106"/>
      <c r="N48" s="106"/>
      <c r="O48" s="106"/>
      <c r="P48" s="106"/>
      <c r="Q48" s="107"/>
      <c r="S48" s="5"/>
      <c r="T48" s="108" t="s">
        <v>250</v>
      </c>
      <c r="U48" s="121" t="s">
        <v>4</v>
      </c>
      <c r="V48" s="122" t="s">
        <v>254</v>
      </c>
      <c r="W48" s="106"/>
      <c r="X48" s="106"/>
      <c r="Y48" s="106"/>
      <c r="Z48" s="106"/>
      <c r="AA48" s="106"/>
      <c r="AB48" s="106"/>
      <c r="AC48" s="106"/>
      <c r="AD48" s="106"/>
      <c r="AE48" s="106"/>
      <c r="AF48" s="106"/>
      <c r="AG48" s="106"/>
      <c r="AH48" s="107"/>
    </row>
    <row r="51" spans="2:3" x14ac:dyDescent="0.3">
      <c r="B51" t="s">
        <v>29</v>
      </c>
    </row>
    <row r="52" spans="2:3" x14ac:dyDescent="0.3">
      <c r="C52" t="s">
        <v>122</v>
      </c>
    </row>
    <row r="53" spans="2:3" x14ac:dyDescent="0.3">
      <c r="C53" t="s">
        <v>182</v>
      </c>
    </row>
    <row r="54" spans="2:3" x14ac:dyDescent="0.3">
      <c r="C54" t="s">
        <v>265</v>
      </c>
    </row>
    <row r="56" spans="2:3" x14ac:dyDescent="0.3">
      <c r="B56" t="s">
        <v>117</v>
      </c>
    </row>
    <row r="57" spans="2:3" x14ac:dyDescent="0.3">
      <c r="C57" t="s">
        <v>261</v>
      </c>
    </row>
    <row r="58" spans="2:3" x14ac:dyDescent="0.3">
      <c r="C58" t="s">
        <v>260</v>
      </c>
    </row>
    <row r="59" spans="2:3" x14ac:dyDescent="0.3">
      <c r="C59" t="s">
        <v>148</v>
      </c>
    </row>
    <row r="60" spans="2:3" x14ac:dyDescent="0.3">
      <c r="C60" t="s">
        <v>218</v>
      </c>
    </row>
    <row r="61" spans="2:3" x14ac:dyDescent="0.3">
      <c r="C61" t="s">
        <v>306</v>
      </c>
    </row>
    <row r="63" spans="2:3" x14ac:dyDescent="0.3">
      <c r="C63" t="s">
        <v>314</v>
      </c>
    </row>
    <row r="64" spans="2:3" x14ac:dyDescent="0.3">
      <c r="C64" t="s">
        <v>310</v>
      </c>
    </row>
    <row r="65" spans="3:3" x14ac:dyDescent="0.3">
      <c r="C65" t="s">
        <v>311</v>
      </c>
    </row>
    <row r="66" spans="3:3" x14ac:dyDescent="0.3">
      <c r="C66" t="s">
        <v>312</v>
      </c>
    </row>
    <row r="67" spans="3:3" x14ac:dyDescent="0.3">
      <c r="C67" t="s">
        <v>313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24</vt:i4>
      </vt:variant>
    </vt:vector>
  </HeadingPairs>
  <TitlesOfParts>
    <vt:vector size="27" baseType="lpstr">
      <vt:lpstr>calculations</vt:lpstr>
      <vt:lpstr>data</vt:lpstr>
      <vt:lpstr>explanation</vt:lpstr>
      <vt:lpstr>Aircraft</vt:lpstr>
      <vt:lpstr>AirDensityFt</vt:lpstr>
      <vt:lpstr>AirDensityMtr</vt:lpstr>
      <vt:lpstr>Altitudes</vt:lpstr>
      <vt:lpstr>Areas</vt:lpstr>
      <vt:lpstr>ConvertArea</vt:lpstr>
      <vt:lpstr>ConvertMileage</vt:lpstr>
      <vt:lpstr>ConvertPower</vt:lpstr>
      <vt:lpstr>ConvertSpeed</vt:lpstr>
      <vt:lpstr>Distances</vt:lpstr>
      <vt:lpstr>DistperVol</vt:lpstr>
      <vt:lpstr>FuelEnergyDensity</vt:lpstr>
      <vt:lpstr>KPHtoMPH</vt:lpstr>
      <vt:lpstr>KPHtoMPS</vt:lpstr>
      <vt:lpstr>KPLtoMPG</vt:lpstr>
      <vt:lpstr>KPLtoMPL</vt:lpstr>
      <vt:lpstr>Locomotives</vt:lpstr>
      <vt:lpstr>Powers</vt:lpstr>
      <vt:lpstr>Railcars</vt:lpstr>
      <vt:lpstr>RoadVehicles</vt:lpstr>
      <vt:lpstr>Ships</vt:lpstr>
      <vt:lpstr>Speeds</vt:lpstr>
      <vt:lpstr>VehicleData</vt:lpstr>
      <vt:lpstr>Volumes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dc:creator>
  <cp:lastModifiedBy>Paul</cp:lastModifiedBy>
  <dcterms:created xsi:type="dcterms:W3CDTF">2014-12-20T16:06:04Z</dcterms:created>
  <dcterms:modified xsi:type="dcterms:W3CDTF">2015-03-30T11:26:53Z</dcterms:modified>
</cp:coreProperties>
</file>